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png" ContentType="image/png"/>
  <Default Extension="emf" ContentType="image/x-emf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Default Extension="vml" ContentType="application/vnd.openxmlformats-officedocument.vmlDrawing"/>
  <Override PartName="/xl/worksheets/sheet2.xml" ContentType="application/vnd.openxmlformats-officedocument.spreadsheetml.worksheet+xml"/>
  <Override PartName="/xl/drawings/drawing2.xml" ContentType="application/vnd.openxmlformats-officedocument.drawing+xml"/>
  <Default Extension="bin" ContentType="application/vnd.openxmlformats-officedocument.spreadsheetml.printerSettings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sharedStrings.xml" ContentType="application/vnd.openxmlformats-officedocument.spreadsheetml.sharedStrings+xml"/>
  <Override PartName="/xl/metadata" ContentType="application/binary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Users\_ Shared Documents\KOMMERSANTI\Marketing\OLD\Ēriks\ET fails\CATL\Sacenības\LČ 2024\LČ 2024 rezultāti\"/>
    </mc:Choice>
  </mc:AlternateContent>
  <bookViews>
    <workbookView xWindow="0" yWindow="0" windowWidth="28800" windowHeight="12435" tabRatio="811" activeTab="0"/>
  </bookViews>
  <sheets>
    <sheet name="Visi dalībnieki" sheetId="31" r:id="rId3"/>
    <sheet name="Gada kopsavilkums" sheetId="4" r:id="rId4"/>
    <sheet name="1.posms_A Zona" sheetId="25" r:id="rId5"/>
    <sheet name="1.posms_B Zona" sheetId="26" r:id="rId6"/>
    <sheet name="1.posms_C Zona" sheetId="27" r:id="rId7"/>
    <sheet name="2.posms_A Zona" sheetId="28" r:id="rId8"/>
    <sheet name="2.posms_B Zona" sheetId="29" r:id="rId9"/>
    <sheet name="2.posms_C Zona" sheetId="30" r:id="rId10"/>
    <sheet name="3.posms_A Zona" sheetId="1" r:id="rId11"/>
    <sheet name="3.posms_B Zona" sheetId="2" r:id="rId12"/>
    <sheet name="3.posms_C Zona" sheetId="3" r:id="rId13"/>
    <sheet name="Sheet2" sheetId="5" state="hidden" r:id="rId14"/>
  </sheets>
  <definedNames>
    <definedName name="_xlnm._FilterDatabase" localSheetId="2" hidden="1">'1.posms_A Zona'!$A$6:$I$12</definedName>
    <definedName name="_xlnm._FilterDatabase" localSheetId="3" hidden="1">'1.posms_B Zona'!$A$6:$I$12</definedName>
    <definedName name="_xlnm._FilterDatabase" localSheetId="4" hidden="1">'1.posms_C Zona'!$A$6:$I$12</definedName>
    <definedName name="_xlnm._FilterDatabase" localSheetId="8" hidden="1">'3.posms_A Zona'!$A$6:$I$12</definedName>
    <definedName name="_xlnm._FilterDatabase" localSheetId="9" hidden="1">'3.posms_B Zona'!$A$6:$I$12</definedName>
    <definedName name="_xlnm._FilterDatabase" localSheetId="10" hidden="1">'3.posms_C Zona'!$A$6:$I$13</definedName>
    <definedName name="_xlnm._FilterDatabase" localSheetId="1" hidden="1">'Gada kopsavilkums'!$A$8:$V$27</definedName>
  </definedNames>
  <calcPr calcId="152511"/>
  <extLst/>
</workbook>
</file>

<file path=xl/calcChain.xml><?xml version="1.0" encoding="utf-8"?>
<calcChain xmlns="http://schemas.openxmlformats.org/spreadsheetml/2006/main">
  <c r="X9" i="4" l="1"/>
</calcChain>
</file>

<file path=xl/sharedStrings.xml><?xml version="1.0" encoding="utf-8"?>
<sst xmlns="http://schemas.openxmlformats.org/spreadsheetml/2006/main" count="738" uniqueCount="284">
  <si>
    <t>LV čempionāts karpu makšķerēšanā 2024</t>
  </si>
  <si>
    <t>27.-30.jūnijs</t>
  </si>
  <si>
    <t>3.posms, Baļotes ezers, Jēkabpils novads</t>
  </si>
  <si>
    <t>A zona</t>
  </si>
  <si>
    <t>Komanda</t>
  </si>
  <si>
    <t>Sektors</t>
  </si>
  <si>
    <t>Vieta</t>
  </si>
  <si>
    <t xml:space="preserve"> Zivju skaits</t>
  </si>
  <si>
    <t xml:space="preserve"> Lielākās zivs svars (kg)</t>
  </si>
  <si>
    <t>Vidējais zivs svars (kg)</t>
  </si>
  <si>
    <t xml:space="preserve"> Kopējais svars (kg)</t>
  </si>
  <si>
    <t>Atpaliek no 1.vietas</t>
  </si>
  <si>
    <t>Atpaliek no nākamās vietas</t>
  </si>
  <si>
    <t>Jauniešu izlase 4</t>
  </si>
  <si>
    <t>Massive Baits</t>
  </si>
  <si>
    <t>Carp O Holics Krante.lv</t>
  </si>
  <si>
    <t>Saluds</t>
  </si>
  <si>
    <t>Jauniešu izlase 3</t>
  </si>
  <si>
    <t>Energy Carp</t>
  </si>
  <si>
    <t>Zonas kopējais zivju skaits:</t>
  </si>
  <si>
    <t>Zonas kopējais zivju svars:</t>
  </si>
  <si>
    <t>kg</t>
  </si>
  <si>
    <t>Zonas lielākās zivs svars:</t>
  </si>
  <si>
    <t>Sacensību kopējais zivju svars:</t>
  </si>
  <si>
    <t>Sacensību lielākās zivs svars:</t>
  </si>
  <si>
    <t>Sacensību kopējais zivju skaits:</t>
  </si>
  <si>
    <t>B zona</t>
  </si>
  <si>
    <t>Boilie Lab 3</t>
  </si>
  <si>
    <t>Amigo carp</t>
  </si>
  <si>
    <t>Jauniešu izlase 2</t>
  </si>
  <si>
    <t>Sakret</t>
  </si>
  <si>
    <t>Crazy Fish AikiBaits</t>
  </si>
  <si>
    <t>Carp Stalker</t>
  </si>
  <si>
    <t>C zona</t>
  </si>
  <si>
    <t>OM Vērgale</t>
  </si>
  <si>
    <t>Jauniešu izlase 5</t>
  </si>
  <si>
    <t>Kalna Spuļļu Dīķi</t>
  </si>
  <si>
    <t>Jauniešu izlase 1</t>
  </si>
  <si>
    <t>Carpio</t>
  </si>
  <si>
    <t>Capital Carp</t>
  </si>
  <si>
    <t>BR-amza Team</t>
  </si>
  <si>
    <t>Kopvērtējums</t>
  </si>
  <si>
    <t>Gada Kopvērtējums</t>
  </si>
  <si>
    <t>1.posms</t>
  </si>
  <si>
    <t>2.posms</t>
  </si>
  <si>
    <t>3.posms</t>
  </si>
  <si>
    <t>Punkti</t>
  </si>
  <si>
    <t>Zona</t>
  </si>
  <si>
    <t>punkti</t>
  </si>
  <si>
    <t>jaunie punkti</t>
  </si>
  <si>
    <t>C</t>
  </si>
  <si>
    <t>A</t>
  </si>
  <si>
    <t>B</t>
  </si>
  <si>
    <t>Amigo Carp</t>
  </si>
  <si>
    <t>1.vieta</t>
  </si>
  <si>
    <t>2.vieta</t>
  </si>
  <si>
    <t>3.vieta</t>
  </si>
  <si>
    <t>4.vieta</t>
  </si>
  <si>
    <t>5.vieta</t>
  </si>
  <si>
    <t>6.vieta</t>
  </si>
  <si>
    <t>7.vieta</t>
  </si>
  <si>
    <t>8.vieta</t>
  </si>
  <si>
    <t>9.vieta</t>
  </si>
  <si>
    <t>10.vieta</t>
  </si>
  <si>
    <t>11.vieta</t>
  </si>
  <si>
    <t>12.vieta</t>
  </si>
  <si>
    <t>13.vieta</t>
  </si>
  <si>
    <t>14.vieta</t>
  </si>
  <si>
    <t>15.vieta</t>
  </si>
  <si>
    <t>16.vieta</t>
  </si>
  <si>
    <t>17.vieta</t>
  </si>
  <si>
    <t>18.vieta</t>
  </si>
  <si>
    <t>19.vieta</t>
  </si>
  <si>
    <t>1 ranks</t>
  </si>
  <si>
    <t>2 ranks</t>
  </si>
  <si>
    <t>3 ranks</t>
  </si>
  <si>
    <t>4 ranks</t>
  </si>
  <si>
    <t>5 ranks</t>
  </si>
  <si>
    <t>6 ranks</t>
  </si>
  <si>
    <t>7 ranks</t>
  </si>
  <si>
    <t>8 ranks</t>
  </si>
  <si>
    <t>9 ranks</t>
  </si>
  <si>
    <t>10 ranks</t>
  </si>
  <si>
    <t>11 ranks</t>
  </si>
  <si>
    <t>12 ranks</t>
  </si>
  <si>
    <t>13 ranks</t>
  </si>
  <si>
    <t>14 ranks</t>
  </si>
  <si>
    <t>15 ranks</t>
  </si>
  <si>
    <t>16 ranks</t>
  </si>
  <si>
    <t>17 ranks</t>
  </si>
  <si>
    <t>18 ranks</t>
  </si>
  <si>
    <t>19 ranks</t>
  </si>
  <si>
    <t>1 jaunie punkti</t>
  </si>
  <si>
    <t>2 jaunie punkti</t>
  </si>
  <si>
    <t>3 jaunie punkti</t>
  </si>
  <si>
    <t>4 jaunie punkti</t>
  </si>
  <si>
    <t>5 jaunie punkti</t>
  </si>
  <si>
    <t>6 jaunie punkti</t>
  </si>
  <si>
    <t>7 jaunie punkti</t>
  </si>
  <si>
    <t>8 jaunie punkti</t>
  </si>
  <si>
    <t>9 jaunie punkti</t>
  </si>
  <si>
    <t>10 jaunie punkti</t>
  </si>
  <si>
    <t>11 jaunie punkti</t>
  </si>
  <si>
    <t>12 jaunie punkti</t>
  </si>
  <si>
    <t>13 jaunie punkti</t>
  </si>
  <si>
    <t>14 jaunie punkti</t>
  </si>
  <si>
    <t>15 jaunie punkti</t>
  </si>
  <si>
    <t>16 jaunie punkti</t>
  </si>
  <si>
    <t>17 jaunie punkti</t>
  </si>
  <si>
    <t>18 jaunie punkti</t>
  </si>
  <si>
    <t>19 jaunie punkti</t>
  </si>
  <si>
    <t>KONSTANTĪNS SILAKOVS</t>
  </si>
  <si>
    <t>DENISS VIŠŅAKOVS</t>
  </si>
  <si>
    <t>VITĀLIJS ŅEČEPURENKO</t>
  </si>
  <si>
    <t>IĻJA IBATUĻĻINS</t>
  </si>
  <si>
    <t>RIČARDS MILAŠS</t>
  </si>
  <si>
    <t>ARTJOMS ŅEČEPURENKO</t>
  </si>
  <si>
    <t>Vārds, uzvārds</t>
  </si>
  <si>
    <t>RAIVIS KABIŅECKIS</t>
  </si>
  <si>
    <t>VALTERS PIRKTIŅŠ</t>
  </si>
  <si>
    <t>ALEKSANDRS BATARS</t>
  </si>
  <si>
    <t>RAIVO ANTROPS</t>
  </si>
  <si>
    <t>ROLANDS ZUNDE</t>
  </si>
  <si>
    <t>Dalībnieks 1</t>
  </si>
  <si>
    <t>Dalībnieks 2</t>
  </si>
  <si>
    <t>Dalībnieks 3</t>
  </si>
  <si>
    <t>JĀNIS PLACĒNS</t>
  </si>
  <si>
    <t>MAIRIS SPROĢIS</t>
  </si>
  <si>
    <t>NORMUNDS PAREIZS</t>
  </si>
  <si>
    <t>OSKARS ZEPS</t>
  </si>
  <si>
    <t>RAIVIS RUĢELIS</t>
  </si>
  <si>
    <t>KRISTERS MIGLĀNS</t>
  </si>
  <si>
    <t>EINARS MARKAVS</t>
  </si>
  <si>
    <t>JOZS GRUŠS</t>
  </si>
  <si>
    <t>SAIVIS RANCĀNS</t>
  </si>
  <si>
    <t>GUNTARS MELDERIS</t>
  </si>
  <si>
    <t>AIVIS BĒRZIŅŠ</t>
  </si>
  <si>
    <t>DĀVIS BĒRZKALNS</t>
  </si>
  <si>
    <t>GATIS OZOLIŅŠ</t>
  </si>
  <si>
    <t>DĀVIS KOZLOVS</t>
  </si>
  <si>
    <t>ROBERTS KRAUKLIS</t>
  </si>
  <si>
    <t>RIHARDS KRŪMIŅŠ</t>
  </si>
  <si>
    <t>JĀNIS PRIEDĪTIS</t>
  </si>
  <si>
    <t>JORENS DUKURS</t>
  </si>
  <si>
    <t>KRISTERS BRANTS</t>
  </si>
  <si>
    <t>GATIS RAŅĶIS</t>
  </si>
  <si>
    <t>UĢIS GRIŠĀNS</t>
  </si>
  <si>
    <t>EMĪLS RUDZĪTIS</t>
  </si>
  <si>
    <t>TOMS GAIGALNIEKS</t>
  </si>
  <si>
    <t>JĀNIS KARLSONS</t>
  </si>
  <si>
    <t>GUNTARS ĻEVČENOKS</t>
  </si>
  <si>
    <t>ROBERTS LIGNICKIS</t>
  </si>
  <si>
    <t>RAINERS JIRGENS</t>
  </si>
  <si>
    <t>NORMUNDS RUDZĪTIS</t>
  </si>
  <si>
    <t>EVLĪNA RUDZĪTE</t>
  </si>
  <si>
    <t>KASPARS RAMZA</t>
  </si>
  <si>
    <t>ROLANDS BUNDIŅŠ</t>
  </si>
  <si>
    <t>ARMĪNS GEDROVICS</t>
  </si>
  <si>
    <t>Sacencību galvenais tiesnesis:</t>
  </si>
  <si>
    <t>Ēriks Tukišs</t>
  </si>
  <si>
    <t>1.posms, Baļotes ezers, Jēkabpils novads</t>
  </si>
  <si>
    <t>16.-19.maijs</t>
  </si>
  <si>
    <t>2.posms, Baļotes ezers, Jēkabpils novads</t>
  </si>
  <si>
    <t>6.-9.jūnijs</t>
  </si>
  <si>
    <t>Vārds, Uzvārds</t>
  </si>
  <si>
    <t>Dzimšanas dati</t>
  </si>
  <si>
    <t>27.10.1988.</t>
  </si>
  <si>
    <t>28.11.1976.</t>
  </si>
  <si>
    <t>27.04.2005.</t>
  </si>
  <si>
    <t>10.07.1996.</t>
  </si>
  <si>
    <t>09.03.1985.</t>
  </si>
  <si>
    <t>14.06.1972.</t>
  </si>
  <si>
    <t>11.04.1984.</t>
  </si>
  <si>
    <t>05.03.1982.</t>
  </si>
  <si>
    <t>13.09.1994.</t>
  </si>
  <si>
    <t>28.10.2005.</t>
  </si>
  <si>
    <t>15.04.1998.</t>
  </si>
  <si>
    <t>13.01.2000.</t>
  </si>
  <si>
    <t>10.05.1979.</t>
  </si>
  <si>
    <t>24.05.1978.</t>
  </si>
  <si>
    <t>27.02.2004.</t>
  </si>
  <si>
    <t>31.12.1998.</t>
  </si>
  <si>
    <t>27.09.1978.</t>
  </si>
  <si>
    <t>08.11.1985.</t>
  </si>
  <si>
    <t>17.06.1976.</t>
  </si>
  <si>
    <t>25.10.1975.</t>
  </si>
  <si>
    <t>21.02.1992.</t>
  </si>
  <si>
    <t>10.11.2003.</t>
  </si>
  <si>
    <t>06.07.1980.</t>
  </si>
  <si>
    <t>18.09.1972.</t>
  </si>
  <si>
    <t>04.11.1976.</t>
  </si>
  <si>
    <t>07.11.2007.</t>
  </si>
  <si>
    <t>22.10.2006.</t>
  </si>
  <si>
    <t>07.12.2005.</t>
  </si>
  <si>
    <t>22.09.1992.</t>
  </si>
  <si>
    <t>14.02.2003.</t>
  </si>
  <si>
    <t>BĒRZIŅŠ</t>
  </si>
  <si>
    <t>AIVIS</t>
  </si>
  <si>
    <t xml:space="preserve">ALEKSANDRS </t>
  </si>
  <si>
    <t>BATARS</t>
  </si>
  <si>
    <t xml:space="preserve">ARMĪNS </t>
  </si>
  <si>
    <t>GEDROVICS</t>
  </si>
  <si>
    <t xml:space="preserve">ARTJOMS </t>
  </si>
  <si>
    <t>ŅEČEPURENKO</t>
  </si>
  <si>
    <t xml:space="preserve">DĀVIS </t>
  </si>
  <si>
    <t>BĒRZKALNS</t>
  </si>
  <si>
    <t>KOZLOVS</t>
  </si>
  <si>
    <t xml:space="preserve">DENISS </t>
  </si>
  <si>
    <t>VIŠŅAKOVS</t>
  </si>
  <si>
    <t xml:space="preserve">EINARS </t>
  </si>
  <si>
    <t>MARKAVS</t>
  </si>
  <si>
    <t xml:space="preserve">EMĪLS </t>
  </si>
  <si>
    <t>RUDZĪTIS</t>
  </si>
  <si>
    <t xml:space="preserve">EVLĪNA </t>
  </si>
  <si>
    <t>RUDZĪTE</t>
  </si>
  <si>
    <t xml:space="preserve">GATIS </t>
  </si>
  <si>
    <t>OZOLIŅŠ</t>
  </si>
  <si>
    <t>RAŅĶIS</t>
  </si>
  <si>
    <t xml:space="preserve">GUNTARS </t>
  </si>
  <si>
    <t>ĻEVČENOKS</t>
  </si>
  <si>
    <t>MELDERIS</t>
  </si>
  <si>
    <t xml:space="preserve">IĻJA </t>
  </si>
  <si>
    <t>IBATUĻĻINS</t>
  </si>
  <si>
    <t xml:space="preserve">JĀNIS </t>
  </si>
  <si>
    <t>KARLSONS</t>
  </si>
  <si>
    <t>PLACĒNS</t>
  </si>
  <si>
    <t>PRIEDĪTIS</t>
  </si>
  <si>
    <t xml:space="preserve">JORENS </t>
  </si>
  <si>
    <t>DUKURS</t>
  </si>
  <si>
    <t xml:space="preserve">JOZS </t>
  </si>
  <si>
    <t>GRUŠS</t>
  </si>
  <si>
    <t xml:space="preserve">KASPARS </t>
  </si>
  <si>
    <t>RAMZA</t>
  </si>
  <si>
    <t xml:space="preserve">KONSTANTĪNS </t>
  </si>
  <si>
    <t>SILAKOVS</t>
  </si>
  <si>
    <t xml:space="preserve">KRISTERS </t>
  </si>
  <si>
    <t>BRANTS</t>
  </si>
  <si>
    <t>MIGLĀNS</t>
  </si>
  <si>
    <t xml:space="preserve">MAIRIS </t>
  </si>
  <si>
    <t>SPROĢIS</t>
  </si>
  <si>
    <t xml:space="preserve">NORMUNDS </t>
  </si>
  <si>
    <t>PAREIZS</t>
  </si>
  <si>
    <t xml:space="preserve">OSKARS </t>
  </si>
  <si>
    <t>ZEPS</t>
  </si>
  <si>
    <t xml:space="preserve">RAINERS </t>
  </si>
  <si>
    <t>JIRGENS</t>
  </si>
  <si>
    <t xml:space="preserve">RAIVIS </t>
  </si>
  <si>
    <t>KABIŅECKIS</t>
  </si>
  <si>
    <t>RUĢELIS</t>
  </si>
  <si>
    <t xml:space="preserve">RAIVO </t>
  </si>
  <si>
    <t>ANTROPS</t>
  </si>
  <si>
    <t xml:space="preserve">RIČARDS </t>
  </si>
  <si>
    <t>MILAŠS</t>
  </si>
  <si>
    <t xml:space="preserve">RIHARDS </t>
  </si>
  <si>
    <t>KRŪMIŅŠ</t>
  </si>
  <si>
    <t xml:space="preserve">ROBERTS </t>
  </si>
  <si>
    <t>KRAUKLIS</t>
  </si>
  <si>
    <t>LIGNICKIS</t>
  </si>
  <si>
    <t xml:space="preserve">ROLANDS </t>
  </si>
  <si>
    <t>BUNDIŅŠ</t>
  </si>
  <si>
    <t>ZUNDE</t>
  </si>
  <si>
    <t xml:space="preserve">SAIVIS </t>
  </si>
  <si>
    <t>RANCĀNS</t>
  </si>
  <si>
    <t xml:space="preserve">UĢIS </t>
  </si>
  <si>
    <t>GRIŠĀNS</t>
  </si>
  <si>
    <t xml:space="preserve">TOMS </t>
  </si>
  <si>
    <t>GAIGALNIEKS</t>
  </si>
  <si>
    <t xml:space="preserve">VALTERS </t>
  </si>
  <si>
    <t>PIRKTIŅŠ</t>
  </si>
  <si>
    <t xml:space="preserve">VITĀLIJS </t>
  </si>
  <si>
    <t>Vārds</t>
  </si>
  <si>
    <t>Uzvārds</t>
  </si>
  <si>
    <t>12.09.1964.</t>
  </si>
  <si>
    <t>10.04.1974.</t>
  </si>
  <si>
    <t>EVELĪNA RUDZĪTE</t>
  </si>
  <si>
    <t>06.05.2004.</t>
  </si>
  <si>
    <t>19.12.1978.</t>
  </si>
  <si>
    <t>19.03.1980.</t>
  </si>
  <si>
    <t>11.04.2008.</t>
  </si>
  <si>
    <t>29.04.1995.</t>
  </si>
  <si>
    <t>19.12.1994.</t>
  </si>
  <si>
    <t>03.05.1982.</t>
  </si>
  <si>
    <t>23.11.2005.</t>
  </si>
  <si>
    <t>26.04.1982.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</si>
</sst>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_-* #,##0.000_-;\-* #,##0.000_-;_-* &quot;-&quot;??_-;_-@"/>
  </numFmts>
  <fonts count="23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charset val="-70"/>
    </font>
    <font>
      <b/>
      <sz val="10"/>
      <color theme="1"/>
      <name val="Arial"/>
      <family val="2"/>
      <charset val="-70"/>
    </font>
    <font>
      <sz val="11"/>
      <color theme="1"/>
      <name val="Calibri"/>
      <family val="2"/>
      <charset val="-70"/>
    </font>
    <font>
      <sz val="9"/>
      <color theme="1"/>
      <name val="Arial"/>
      <family val="2"/>
      <charset val="-70"/>
    </font>
    <font>
      <sz val="11"/>
      <color theme="0"/>
      <name val="Calibri"/>
      <family val="2"/>
      <charset val="-70"/>
    </font>
    <font>
      <sz val="9"/>
      <color rgb="FF000000"/>
      <name val="Arial"/>
      <family val="2"/>
      <charset val="-70"/>
    </font>
    <font>
      <b/>
      <sz val="20"/>
      <color theme="1"/>
      <name val="Calibri"/>
      <family val="2"/>
      <charset val="-70"/>
    </font>
    <font>
      <b/>
      <sz val="14"/>
      <color theme="1"/>
      <name val="Calibri"/>
      <family val="2"/>
      <charset val="-70"/>
    </font>
    <font>
      <b/>
      <sz val="8"/>
      <color theme="1"/>
      <name val="Calibri"/>
      <family val="2"/>
      <charset val="-70"/>
    </font>
    <font>
      <b/>
      <sz val="10"/>
      <color theme="1"/>
      <name val="Calibri"/>
      <family val="2"/>
      <charset val="-70"/>
    </font>
    <font>
      <sz val="11"/>
      <name val="Calibri"/>
      <family val="2"/>
      <charset val="-70"/>
    </font>
    <font>
      <b/>
      <sz val="9"/>
      <color theme="1"/>
      <name val="Calibri"/>
      <family val="2"/>
      <charset val="-70"/>
    </font>
    <font>
      <b/>
      <sz val="7"/>
      <color theme="1"/>
      <name val="Arial"/>
      <family val="2"/>
      <charset val="-70"/>
    </font>
    <font>
      <b/>
      <sz val="6"/>
      <color theme="1"/>
      <name val="Arial"/>
      <family val="2"/>
      <charset val="-70"/>
    </font>
    <font>
      <b/>
      <sz val="12"/>
      <color theme="1"/>
      <name val="Calibri"/>
      <family val="2"/>
      <charset val="-70"/>
    </font>
    <font>
      <b/>
      <sz val="11"/>
      <color theme="1"/>
      <name val="Calibri"/>
      <family val="2"/>
      <charset val="-70"/>
      <scheme val="minor"/>
    </font>
    <font>
      <b/>
      <sz val="16"/>
      <color theme="1"/>
      <name val="Calibri"/>
      <family val="2"/>
      <charset val="-70"/>
    </font>
    <font>
      <i/>
      <sz val="11"/>
      <color theme="1"/>
      <name val="Calibri"/>
      <family val="2"/>
      <charset val="-70"/>
    </font>
    <font>
      <i/>
      <sz val="11"/>
      <name val="Calibri"/>
      <family val="2"/>
      <charset val="-70"/>
    </font>
    <font>
      <sz val="11"/>
      <name val="Calibri"/>
      <family val="2"/>
      <charset val="-70"/>
      <scheme val="minor"/>
    </font>
    <font>
      <b/>
      <sz val="12"/>
      <name val="Calibri"/>
      <family val="2"/>
      <charset val="-70"/>
    </font>
  </fonts>
  <fills count="11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D96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8D08D"/>
        <bgColor indexed="64"/>
      </patternFill>
    </fill>
    <fill>
      <patternFill patternType="solid">
        <fgColor theme="5" tint="0.7999799847602844"/>
        <bgColor indexed="64"/>
      </patternFill>
    </fill>
    <fill>
      <patternFill patternType="solid">
        <fgColor theme="5" tint="0.7999799847602844"/>
        <bgColor indexed="64"/>
      </patternFill>
    </fill>
    <fill>
      <patternFill patternType="solid">
        <fgColor theme="5" tint="0.7999799847602844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</border>
    <border>
      <left style="hair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/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 style="hair">
        <color rgb="FF000000"/>
      </bottom>
    </border>
    <border>
      <left style="thin">
        <color rgb="FF000000"/>
      </left>
      <right style="hair">
        <color rgb="FF000000"/>
      </right>
      <top/>
      <bottom style="hair">
        <color rgb="FF000000"/>
      </bottom>
    </border>
    <border>
      <left style="hair">
        <color rgb="FF000000"/>
      </left>
      <right style="hair">
        <color rgb="FF000000"/>
      </right>
      <top/>
      <bottom style="hair">
        <color rgb="FF000000"/>
      </bottom>
    </border>
    <border>
      <left style="hair">
        <color rgb="FF000000"/>
      </left>
      <right/>
      <top/>
      <bottom style="hair">
        <color rgb="FF000000"/>
      </bottom>
    </border>
    <border>
      <left style="hair">
        <color rgb="FF000000"/>
      </left>
      <right style="thin">
        <color rgb="FF000000"/>
      </right>
      <top/>
      <bottom style="hair">
        <color rgb="FF000000"/>
      </bottom>
    </border>
    <border>
      <left style="hair">
        <color rgb="FF000000"/>
      </left>
      <right/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/>
      <top style="hair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/>
      <top/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hair">
        <color rgb="FF000000"/>
      </bottom>
    </border>
    <border>
      <left/>
      <right/>
      <top style="thin">
        <color rgb="FF000000"/>
      </top>
      <bottom style="hair">
        <color rgb="FF000000"/>
      </bottom>
    </border>
    <border>
      <left/>
      <right style="hair">
        <color rgb="FF000000"/>
      </right>
      <top/>
      <bottom style="hair">
        <color rgb="FF000000"/>
      </bottom>
    </border>
    <border>
      <left/>
      <right/>
      <top style="hair">
        <color rgb="FF000000"/>
      </top>
      <bottom style="hair">
        <color rgb="FF000000"/>
      </bottom>
    </border>
    <border>
      <left/>
      <right/>
      <top style="thin">
        <color rgb="FF000000"/>
      </top>
      <bottom/>
    </border>
    <border>
      <left/>
      <right style="thin">
        <color rgb="FF000000"/>
      </right>
      <top style="hair">
        <color rgb="FF000000"/>
      </top>
      <bottom style="hair">
        <color rgb="FF000000"/>
      </bottom>
    </border>
    <border>
      <left/>
      <right style="thin">
        <color rgb="FF000000"/>
      </right>
      <top style="hair">
        <color rgb="FF000000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2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0" fillId="0" borderId="0">
      <alignment/>
      <protection/>
    </xf>
  </cellStyleXfs>
  <cellXfs count="135">
    <xf numFmtId="0" fontId="0" fillId="0" borderId="0" xfId="0" applyFont="1" applyAlignment="1">
      <alignment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textRotation="90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64" fontId="4" fillId="0" borderId="0" xfId="0" applyNumberFormat="1" applyFont="1"/>
    <xf numFmtId="0" fontId="5" fillId="3" borderId="6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1" fontId="1" fillId="0" borderId="6" xfId="0" applyNumberFormat="1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1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0" xfId="0" applyFont="1"/>
    <xf numFmtId="0" fontId="6" fillId="0" borderId="0" xfId="0" applyFont="1"/>
    <xf numFmtId="164" fontId="4" fillId="0" borderId="0" xfId="0" applyNumberFormat="1" applyFont="1" applyAlignment="1">
      <alignment horizontal="center" vertical="center"/>
    </xf>
    <xf numFmtId="0" fontId="3" fillId="2" borderId="10" xfId="0" applyFont="1" applyFill="1" applyBorder="1" applyAlignment="1">
      <alignment horizontal="center" vertical="center" textRotation="90" wrapText="1"/>
    </xf>
    <xf numFmtId="0" fontId="7" fillId="5" borderId="6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6" borderId="11" xfId="0" applyFont="1" applyFill="1" applyBorder="1" applyAlignment="1">
      <alignment horizontal="center" vertical="center"/>
    </xf>
    <xf numFmtId="0" fontId="11" fillId="6" borderId="12" xfId="0" applyFont="1" applyFill="1" applyBorder="1" applyAlignment="1">
      <alignment horizontal="center" vertical="center"/>
    </xf>
    <xf numFmtId="0" fontId="10" fillId="6" borderId="13" xfId="0" applyFont="1" applyFill="1" applyBorder="1" applyAlignment="1">
      <alignment horizontal="center" vertical="center" wrapText="1"/>
    </xf>
    <xf numFmtId="0" fontId="10" fillId="6" borderId="14" xfId="0" applyFont="1" applyFill="1" applyBorder="1" applyAlignment="1">
      <alignment horizontal="center" vertical="center" wrapText="1"/>
    </xf>
    <xf numFmtId="0" fontId="10" fillId="6" borderId="15" xfId="0" applyFont="1" applyFill="1" applyBorder="1" applyAlignment="1">
      <alignment horizontal="center" vertical="center" wrapText="1"/>
    </xf>
    <xf numFmtId="0" fontId="10" fillId="6" borderId="16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0" fillId="0" borderId="0" xfId="0" applyFont="1"/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64" fontId="4" fillId="0" borderId="18" xfId="0" applyNumberFormat="1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1" fontId="4" fillId="0" borderId="18" xfId="0" applyNumberFormat="1" applyFont="1" applyBorder="1" applyAlignment="1">
      <alignment horizontal="center" vertical="center"/>
    </xf>
    <xf numFmtId="0" fontId="4" fillId="0" borderId="22" xfId="0" applyFont="1" applyBorder="1"/>
    <xf numFmtId="0" fontId="4" fillId="0" borderId="11" xfId="0" applyFont="1" applyBorder="1"/>
    <xf numFmtId="0" fontId="14" fillId="3" borderId="22" xfId="0" applyFont="1" applyFill="1" applyBorder="1" applyAlignment="1">
      <alignment horizontal="center" vertical="center"/>
    </xf>
    <xf numFmtId="165" fontId="4" fillId="0" borderId="22" xfId="0" applyNumberFormat="1" applyFont="1" applyBorder="1"/>
    <xf numFmtId="1" fontId="4" fillId="0" borderId="22" xfId="0" applyNumberFormat="1" applyFont="1" applyBorder="1"/>
    <xf numFmtId="164" fontId="4" fillId="0" borderId="22" xfId="0" applyNumberFormat="1" applyFont="1" applyBorder="1"/>
    <xf numFmtId="0" fontId="4" fillId="0" borderId="23" xfId="0" applyFont="1" applyBorder="1"/>
    <xf numFmtId="0" fontId="15" fillId="3" borderId="22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 wrapText="1"/>
    </xf>
    <xf numFmtId="165" fontId="4" fillId="0" borderId="0" xfId="0" applyNumberFormat="1" applyFont="1"/>
    <xf numFmtId="0" fontId="0" fillId="0" borderId="0" xfId="0" applyFont="1" applyAlignment="1">
      <alignment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/>
    </xf>
    <xf numFmtId="0" fontId="9" fillId="0" borderId="0" xfId="0" applyFont="1" applyAlignment="1">
      <alignment horizontal="center" vertical="center"/>
    </xf>
    <xf numFmtId="0" fontId="11" fillId="6" borderId="24" xfId="0" applyFont="1" applyFill="1" applyBorder="1" applyAlignment="1">
      <alignment horizontal="center" vertical="center"/>
    </xf>
    <xf numFmtId="0" fontId="11" fillId="6" borderId="25" xfId="0" applyFont="1" applyFill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0" fillId="0" borderId="0" xfId="0" applyFont="1" applyAlignment="1">
      <alignment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6" borderId="27" xfId="0" applyFont="1" applyFill="1" applyBorder="1" applyAlignment="1">
      <alignment horizontal="center" vertical="center"/>
    </xf>
    <xf numFmtId="0" fontId="12" fillId="0" borderId="28" xfId="0" applyFont="1" applyBorder="1"/>
    <xf numFmtId="0" fontId="12" fillId="0" borderId="10" xfId="0" applyFont="1" applyBorder="1"/>
    <xf numFmtId="0" fontId="12" fillId="0" borderId="28" xfId="0" applyFont="1" applyBorder="1"/>
    <xf numFmtId="0" fontId="11" fillId="7" borderId="27" xfId="0" applyFont="1" applyFill="1" applyBorder="1" applyAlignment="1">
      <alignment horizontal="center" vertical="center"/>
    </xf>
    <xf numFmtId="0" fontId="12" fillId="8" borderId="28" xfId="0" applyFont="1" applyFill="1" applyBorder="1"/>
    <xf numFmtId="0" fontId="12" fillId="8" borderId="10" xfId="0" applyFont="1" applyFill="1" applyBorder="1"/>
    <xf numFmtId="0" fontId="13" fillId="9" borderId="6" xfId="0" applyFont="1" applyFill="1" applyBorder="1" applyAlignment="1">
      <alignment horizontal="center" vertical="center" wrapText="1"/>
    </xf>
    <xf numFmtId="0" fontId="13" fillId="9" borderId="29" xfId="0" applyFont="1" applyFill="1" applyBorder="1" applyAlignment="1">
      <alignment horizontal="center" vertical="center" wrapText="1"/>
    </xf>
    <xf numFmtId="0" fontId="13" fillId="9" borderId="16" xfId="0" applyFont="1" applyFill="1" applyBorder="1" applyAlignment="1">
      <alignment horizontal="center" vertical="center" wrapText="1"/>
    </xf>
    <xf numFmtId="0" fontId="2" fillId="9" borderId="7" xfId="0" applyFont="1" applyFill="1" applyBorder="1" applyAlignment="1">
      <alignment horizontal="center" vertical="center"/>
    </xf>
    <xf numFmtId="164" fontId="4" fillId="8" borderId="6" xfId="0" applyNumberFormat="1" applyFont="1" applyFill="1" applyBorder="1" applyAlignment="1">
      <alignment horizontal="center" vertical="center"/>
    </xf>
    <xf numFmtId="0" fontId="4" fillId="8" borderId="8" xfId="0" applyFont="1" applyFill="1" applyBorder="1" applyAlignment="1">
      <alignment horizontal="center" vertical="center"/>
    </xf>
    <xf numFmtId="164" fontId="4" fillId="8" borderId="19" xfId="0" applyNumberFormat="1" applyFont="1" applyFill="1" applyBorder="1" applyAlignment="1">
      <alignment horizontal="center" vertical="center"/>
    </xf>
    <xf numFmtId="0" fontId="4" fillId="8" borderId="18" xfId="0" applyFont="1" applyFill="1" applyBorder="1" applyAlignment="1">
      <alignment horizontal="center" vertical="center"/>
    </xf>
    <xf numFmtId="0" fontId="0" fillId="0" borderId="0" xfId="0" applyFont="1" applyAlignment="1">
      <alignment/>
    </xf>
    <xf numFmtId="0" fontId="0" fillId="0" borderId="0" xfId="20">
      <alignment/>
      <protection/>
    </xf>
    <xf numFmtId="1" fontId="4" fillId="0" borderId="0" xfId="20" applyNumberFormat="1" applyFont="1" applyAlignment="1">
      <alignment horizontal="center"/>
      <protection/>
    </xf>
    <xf numFmtId="0" fontId="4" fillId="0" borderId="0" xfId="20" applyFont="1" applyAlignment="1">
      <alignment horizontal="right"/>
      <protection/>
    </xf>
    <xf numFmtId="0" fontId="0" fillId="10" borderId="0" xfId="20" applyFill="1">
      <alignment/>
      <protection/>
    </xf>
    <xf numFmtId="0" fontId="0" fillId="0" borderId="0" xfId="20" applyFont="1">
      <alignment/>
      <protection/>
    </xf>
    <xf numFmtId="164" fontId="4" fillId="0" borderId="0" xfId="20" applyNumberFormat="1" applyFont="1" applyAlignment="1">
      <alignment horizontal="center" vertical="center"/>
      <protection/>
    </xf>
    <xf numFmtId="164" fontId="4" fillId="0" borderId="0" xfId="20" applyNumberFormat="1" applyFont="1" applyAlignment="1">
      <alignment horizontal="center"/>
      <protection/>
    </xf>
    <xf numFmtId="164" fontId="1" fillId="0" borderId="0" xfId="20" applyNumberFormat="1" applyFont="1" applyBorder="1" applyAlignment="1">
      <alignment horizontal="center" vertical="center"/>
      <protection/>
    </xf>
    <xf numFmtId="0" fontId="1" fillId="0" borderId="0" xfId="20" applyFont="1" applyBorder="1" applyAlignment="1">
      <alignment horizontal="center" vertical="center"/>
      <protection/>
    </xf>
    <xf numFmtId="0" fontId="5" fillId="3" borderId="0" xfId="20" applyFont="1" applyFill="1" applyBorder="1" applyAlignment="1">
      <alignment horizontal="center" vertical="center"/>
      <protection/>
    </xf>
    <xf numFmtId="164" fontId="1" fillId="0" borderId="9" xfId="20" applyNumberFormat="1" applyFont="1" applyBorder="1" applyAlignment="1">
      <alignment horizontal="center" vertical="center"/>
      <protection/>
    </xf>
    <xf numFmtId="164" fontId="1" fillId="0" borderId="6" xfId="20" applyNumberFormat="1" applyFont="1" applyBorder="1" applyAlignment="1">
      <alignment horizontal="center" vertical="center"/>
      <protection/>
    </xf>
    <xf numFmtId="164" fontId="3" fillId="0" borderId="8" xfId="20" applyNumberFormat="1" applyFont="1" applyBorder="1" applyAlignment="1">
      <alignment horizontal="center" vertical="center"/>
      <protection/>
    </xf>
    <xf numFmtId="164" fontId="1" fillId="0" borderId="8" xfId="20" applyNumberFormat="1" applyFont="1" applyBorder="1" applyAlignment="1">
      <alignment horizontal="center" vertical="center"/>
      <protection/>
    </xf>
    <xf numFmtId="1" fontId="1" fillId="0" borderId="6" xfId="20" applyNumberFormat="1" applyFont="1" applyBorder="1" applyAlignment="1">
      <alignment horizontal="center" vertical="center"/>
      <protection/>
    </xf>
    <xf numFmtId="0" fontId="3" fillId="4" borderId="30" xfId="20" applyFont="1" applyFill="1" applyBorder="1" applyAlignment="1">
      <alignment horizontal="center" vertical="center"/>
      <protection/>
    </xf>
    <xf numFmtId="0" fontId="1" fillId="0" borderId="7" xfId="20" applyFont="1" applyBorder="1" applyAlignment="1">
      <alignment horizontal="center" vertical="center"/>
      <protection/>
    </xf>
    <xf numFmtId="0" fontId="5" fillId="3" borderId="6" xfId="20" applyFont="1" applyFill="1" applyBorder="1" applyAlignment="1">
      <alignment horizontal="center" vertical="center"/>
      <protection/>
    </xf>
    <xf numFmtId="0" fontId="1" fillId="2" borderId="5" xfId="20" applyFont="1" applyFill="1" applyBorder="1" applyAlignment="1">
      <alignment horizontal="center" vertical="center" wrapText="1"/>
      <protection/>
    </xf>
    <xf numFmtId="0" fontId="1" fillId="2" borderId="4" xfId="20" applyFont="1" applyFill="1" applyBorder="1" applyAlignment="1">
      <alignment horizontal="center" vertical="center" wrapText="1"/>
      <protection/>
    </xf>
    <xf numFmtId="0" fontId="1" fillId="2" borderId="3" xfId="20" applyFont="1" applyFill="1" applyBorder="1" applyAlignment="1">
      <alignment horizontal="center" vertical="center" wrapText="1"/>
      <protection/>
    </xf>
    <xf numFmtId="0" fontId="3" fillId="2" borderId="31" xfId="20" applyFont="1" applyFill="1" applyBorder="1" applyAlignment="1">
      <alignment horizontal="center" vertical="center" textRotation="90"/>
      <protection/>
    </xf>
    <xf numFmtId="0" fontId="1" fillId="2" borderId="2" xfId="20" applyFont="1" applyFill="1" applyBorder="1" applyAlignment="1">
      <alignment horizontal="center" vertical="center" textRotation="90"/>
      <protection/>
    </xf>
    <xf numFmtId="0" fontId="3" fillId="2" borderId="1" xfId="20" applyFont="1" applyFill="1" applyBorder="1" applyAlignment="1">
      <alignment horizontal="center" vertical="center"/>
      <protection/>
    </xf>
    <xf numFmtId="0" fontId="2" fillId="0" borderId="0" xfId="20" applyFont="1" applyAlignment="1">
      <alignment vertical="center"/>
      <protection/>
    </xf>
    <xf numFmtId="0" fontId="18" fillId="0" borderId="0" xfId="20" applyFont="1" applyAlignment="1">
      <alignment vertical="center"/>
      <protection/>
    </xf>
    <xf numFmtId="0" fontId="5" fillId="2" borderId="2" xfId="20" applyFont="1" applyFill="1" applyBorder="1" applyAlignment="1">
      <alignment horizontal="center" vertical="center" textRotation="90"/>
      <protection/>
    </xf>
    <xf numFmtId="0" fontId="3" fillId="2" borderId="10" xfId="20" applyFont="1" applyFill="1" applyBorder="1" applyAlignment="1">
      <alignment horizontal="center" vertical="center" textRotation="90" wrapText="1"/>
      <protection/>
    </xf>
    <xf numFmtId="0" fontId="3" fillId="4" borderId="7" xfId="20" applyFont="1" applyFill="1" applyBorder="1" applyAlignment="1">
      <alignment horizontal="center" vertical="center"/>
      <protection/>
    </xf>
    <xf numFmtId="0" fontId="7" fillId="0" borderId="6" xfId="0" applyFont="1" applyFill="1" applyBorder="1" applyAlignment="1">
      <alignment horizontal="center" vertical="center"/>
    </xf>
    <xf numFmtId="0" fontId="17" fillId="0" borderId="0" xfId="0" applyFont="1" applyAlignment="1">
      <alignment/>
    </xf>
    <xf numFmtId="0" fontId="0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0" fontId="18" fillId="0" borderId="0" xfId="20" applyFont="1" applyAlignment="1">
      <alignment horizontal="center" vertical="center"/>
      <protection/>
    </xf>
    <xf numFmtId="0" fontId="2" fillId="0" borderId="0" xfId="20" applyFont="1" applyAlignment="1">
      <alignment horizontal="center" vertical="center"/>
      <protection/>
    </xf>
    <xf numFmtId="0" fontId="0" fillId="0" borderId="0" xfId="20" applyFont="1" applyAlignment="1">
      <alignment/>
      <protection/>
    </xf>
    <xf numFmtId="0" fontId="4" fillId="0" borderId="0" xfId="20" applyFont="1">
      <alignment/>
      <protection/>
    </xf>
    <xf numFmtId="164" fontId="1" fillId="0" borderId="0" xfId="20" applyNumberFormat="1" applyFont="1" applyAlignment="1">
      <alignment horizontal="center" vertical="center"/>
      <protection/>
    </xf>
    <xf numFmtId="0" fontId="1" fillId="0" borderId="0" xfId="20" applyFont="1" applyAlignment="1">
      <alignment horizontal="center" vertical="center"/>
      <protection/>
    </xf>
    <xf numFmtId="0" fontId="5" fillId="5" borderId="6" xfId="20" applyFont="1" applyFill="1" applyBorder="1" applyAlignment="1">
      <alignment horizontal="center" vertical="center"/>
      <protection/>
    </xf>
    <xf numFmtId="0" fontId="0" fillId="0" borderId="0" xfId="20" applyFont="1" applyAlignment="1">
      <alignment horizontal="center"/>
      <protection/>
    </xf>
    <xf numFmtId="0" fontId="0" fillId="0" borderId="0" xfId="0" applyFont="1" applyAlignment="1">
      <alignment horizontal="left"/>
    </xf>
    <xf numFmtId="0" fontId="19" fillId="0" borderId="32" xfId="0" applyFont="1" applyBorder="1" applyAlignment="1">
      <alignment horizontal="center" vertical="center"/>
    </xf>
    <xf numFmtId="0" fontId="19" fillId="0" borderId="32" xfId="0" applyFont="1" applyFill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20" fillId="0" borderId="34" xfId="0" applyFont="1" applyFill="1" applyBorder="1" applyAlignment="1">
      <alignment horizontal="center" vertical="center"/>
    </xf>
    <xf numFmtId="0" fontId="22" fillId="0" borderId="34" xfId="0" applyFont="1" applyFill="1" applyBorder="1" applyAlignment="1">
      <alignment horizontal="center" vertical="center"/>
    </xf>
    <xf numFmtId="0" fontId="21" fillId="0" borderId="34" xfId="0" applyFont="1" applyFill="1" applyBorder="1" applyAlignment="1">
      <alignment horizontal="center"/>
    </xf>
    <xf numFmtId="0" fontId="17" fillId="0" borderId="34" xfId="0" applyFont="1" applyBorder="1" applyAlignment="1">
      <alignment horizontal="center"/>
    </xf>
  </cellXfs>
  <cellStyles count="7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Normal 2" xfId="2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1" Type="http://schemas.openxmlformats.org/officeDocument/2006/relationships/worksheet" Target="worksheets/sheet9.xml" /><Relationship Id="rId10" Type="http://schemas.openxmlformats.org/officeDocument/2006/relationships/worksheet" Target="worksheets/sheet8.xml" /><Relationship Id="rId13" Type="http://schemas.openxmlformats.org/officeDocument/2006/relationships/worksheet" Target="worksheets/sheet11.xml" /><Relationship Id="rId12" Type="http://schemas.openxmlformats.org/officeDocument/2006/relationships/worksheet" Target="worksheets/sheet10.xml" /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9" Type="http://schemas.openxmlformats.org/officeDocument/2006/relationships/worksheet" Target="worksheets/sheet7.xml" /><Relationship Id="rId15" Type="http://schemas.openxmlformats.org/officeDocument/2006/relationships/sharedStrings" Target="sharedStrings.xml" /><Relationship Id="rId14" Type="http://schemas.openxmlformats.org/officeDocument/2006/relationships/worksheet" Target="worksheets/sheet12.xml" /><Relationship Id="rId16" Type="http://schemas.openxmlformats.org/officeDocument/2006/relationships/calcChain" Target="calcChain.xml" /><Relationship Id="rId5" Type="http://schemas.openxmlformats.org/officeDocument/2006/relationships/worksheet" Target="worksheets/sheet3.xml" /><Relationship Id="rId6" Type="http://schemas.openxmlformats.org/officeDocument/2006/relationships/worksheet" Target="worksheets/sheet4.xml" /><Relationship Id="rId7" Type="http://schemas.openxmlformats.org/officeDocument/2006/relationships/worksheet" Target="worksheets/sheet5.xml" /><Relationship Id="rId8" Type="http://schemas.openxmlformats.org/officeDocument/2006/relationships/worksheet" Target="worksheets/sheet6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Relationship Id="rId2" Type="http://schemas.openxmlformats.org/officeDocument/2006/relationships/image" Target="../media/image2.png" /></Relationships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 /><Relationship Id="rId2" Type="http://schemas.openxmlformats.org/officeDocument/2006/relationships/image" Target="../media/image1.png" 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 /><Relationship Id="rId2" Type="http://schemas.openxmlformats.org/officeDocument/2006/relationships/image" Target="../media/image1.png" 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 /><Relationship Id="rId2" Type="http://schemas.openxmlformats.org/officeDocument/2006/relationships/image" Target="../media/image1.png" 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 /><Relationship Id="rId2" Type="http://schemas.openxmlformats.org/officeDocument/2006/relationships/image" Target="../media/image1.png" 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 /><Relationship Id="rId2" Type="http://schemas.openxmlformats.org/officeDocument/2006/relationships/image" Target="../media/image1.png" 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 /><Relationship Id="rId2" Type="http://schemas.openxmlformats.org/officeDocument/2006/relationships/image" Target="../media/image1.png" 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Relationship Id="rId2" Type="http://schemas.openxmlformats.org/officeDocument/2006/relationships/image" Target="../media/image2.png" 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 /><Relationship Id="rId2" Type="http://schemas.openxmlformats.org/officeDocument/2006/relationships/image" Target="../media/image1.png" /></Relationships>
</file>

<file path=xl/drawings/_rels/drawing9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 /><Relationship Id="rId2" Type="http://schemas.openxmlformats.org/officeDocument/2006/relationships/image" Target="../media/image1.png" /></Relationships>
</file>

<file path=xl/drawings/_rels/vmlDrawing1.vml.rels><?xml version="1.0" encoding="UTF-8" standalone="yes"?><Relationships xmlns="http://schemas.openxmlformats.org/package/2006/relationships"><Relationship Id="rId1" Type="http://schemas.openxmlformats.org/officeDocument/2006/relationships/image" Target="../media/image2.emf" /></Relationships>
</file>

<file path=xl/drawings/_rels/vmlDrawing10.vml.rels><?xml version="1.0" encoding="UTF-8" standalone="yes"?><Relationships xmlns="http://schemas.openxmlformats.org/package/2006/relationships"><Relationship Id="rId1" Type="http://schemas.openxmlformats.org/officeDocument/2006/relationships/image" Target="../media/image2.emf" /></Relationships>
</file>

<file path=xl/drawings/_rels/vmlDrawing2.vml.rels><?xml version="1.0" encoding="UTF-8" standalone="yes"?><Relationships xmlns="http://schemas.openxmlformats.org/package/2006/relationships"><Relationship Id="rId1" Type="http://schemas.openxmlformats.org/officeDocument/2006/relationships/image" Target="../media/image2.emf" /></Relationships>
</file>

<file path=xl/drawings/_rels/vmlDrawing3.vml.rels><?xml version="1.0" encoding="UTF-8" standalone="yes"?><Relationships xmlns="http://schemas.openxmlformats.org/package/2006/relationships"><Relationship Id="rId1" Type="http://schemas.openxmlformats.org/officeDocument/2006/relationships/image" Target="../media/image2.emf" /></Relationships>
</file>

<file path=xl/drawings/_rels/vmlDrawing4.vml.rels><?xml version="1.0" encoding="UTF-8" standalone="yes"?><Relationships xmlns="http://schemas.openxmlformats.org/package/2006/relationships"><Relationship Id="rId1" Type="http://schemas.openxmlformats.org/officeDocument/2006/relationships/image" Target="../media/image2.emf" /></Relationships>
</file>

<file path=xl/drawings/_rels/vmlDrawing5.vml.rels><?xml version="1.0" encoding="UTF-8" standalone="yes"?><Relationships xmlns="http://schemas.openxmlformats.org/package/2006/relationships"><Relationship Id="rId1" Type="http://schemas.openxmlformats.org/officeDocument/2006/relationships/image" Target="../media/image2.emf" /></Relationships>
</file>

<file path=xl/drawings/_rels/vmlDrawing6.vml.rels><?xml version="1.0" encoding="UTF-8" standalone="yes"?><Relationships xmlns="http://schemas.openxmlformats.org/package/2006/relationships"><Relationship Id="rId1" Type="http://schemas.openxmlformats.org/officeDocument/2006/relationships/image" Target="../media/image2.emf" /></Relationships>
</file>

<file path=xl/drawings/_rels/vmlDrawing7.vml.rels><?xml version="1.0" encoding="UTF-8" standalone="yes"?><Relationships xmlns="http://schemas.openxmlformats.org/package/2006/relationships"><Relationship Id="rId1" Type="http://schemas.openxmlformats.org/officeDocument/2006/relationships/image" Target="../media/image2.emf" /></Relationships>
</file>

<file path=xl/drawings/_rels/vmlDrawing8.vml.rels><?xml version="1.0" encoding="UTF-8" standalone="yes"?><Relationships xmlns="http://schemas.openxmlformats.org/package/2006/relationships"><Relationship Id="rId1" Type="http://schemas.openxmlformats.org/officeDocument/2006/relationships/image" Target="../media/image2.emf" /></Relationships>
</file>

<file path=xl/drawings/_rels/vmlDrawing9.vml.rels><?xml version="1.0" encoding="UTF-8" standalone="yes"?><Relationships xmlns="http://schemas.openxmlformats.org/package/2006/relationships"><Relationship Id="rId1" Type="http://schemas.openxmlformats.org/officeDocument/2006/relationships/image" Target="../media/image2.emf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1</xdr:col>
      <xdr:colOff>1514475</xdr:colOff>
      <xdr:row>29</xdr:row>
      <xdr:rowOff>38100</xdr:rowOff>
    </xdr:from>
    <xdr:to>
      <xdr:col>3</xdr:col>
      <xdr:colOff>275993</xdr:colOff>
      <xdr:row>35</xdr:row>
      <xdr:rowOff>133202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39f52e7-0a25-4ada-8fa5-83de447fba1e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71850" y="6534150"/>
          <a:ext cx="1857375" cy="1181100"/>
        </a:xfrm>
        <a:prstGeom prst="rect"/>
      </xdr:spPr>
    </xdr:pic>
    <xdr:clientData/>
  </xdr:twoCellAnchor>
  <xdr:twoCellAnchor editAs="oneCell">
    <xdr:from>
      <xdr:col>2</xdr:col>
      <xdr:colOff>714376</xdr:colOff>
      <xdr:row>0</xdr:row>
      <xdr:rowOff>40814</xdr:rowOff>
    </xdr:from>
    <xdr:to>
      <xdr:col>3</xdr:col>
      <xdr:colOff>481723</xdr:colOff>
      <xdr:row>5</xdr:row>
      <xdr:rowOff>142875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7e4c7cf-2328-7232-6a8e-7dfe32796d15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14800" y="38100"/>
          <a:ext cx="1323975" cy="1162050"/>
        </a:xfrm>
        <a:prstGeom prst="rect"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409575</xdr:colOff>
          <xdr:row>0</xdr:row>
          <xdr:rowOff>10025</xdr:rowOff>
        </xdr:from>
        <xdr:to>
          <xdr:col>12</xdr:col>
          <xdr:colOff>180975</xdr:colOff>
          <xdr:row>5</xdr:row>
          <xdr:rowOff>123824</xdr:rowOff>
        </xdr:to>
        <xdr:sp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360b0f8-66ef-598d-8b87-e4ad923bd8e7}"/>
                </a:ext>
              </a:extLst>
            </xdr:cNvPr>
            <xdr:cNvSpPr>
              <a:spLocks noChangeAspect="1"/>
            </xdr:cNvSpPr>
          </xdr:nvSpPr>
          <xdr:spPr bwMode="auto">
            <a:xfrm>
              <a:off x="9715500" y="9525"/>
              <a:ext cx="695325" cy="1171575"/>
            </a:xfrm>
            <a:prstGeom prst="rect"/>
            <a:solidFill>
              <a:srgbClr val="FFFFFF"/>
            </a:solidFill>
            <a:ln w="9525">
              <a:solidFill>
                <a:srgbClr val="000000"/>
              </a:solidFill>
              <a:miter lim="800000"/>
            </a:ln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1831975</xdr:colOff>
      <xdr:row>0</xdr:row>
      <xdr:rowOff>15875</xdr:rowOff>
    </xdr:from>
    <xdr:to>
      <xdr:col>2</xdr:col>
      <xdr:colOff>513472</xdr:colOff>
      <xdr:row>5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e4c7cf-2328-7232-6a8e-7dfe32796d15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28800" y="19050"/>
          <a:ext cx="1066800" cy="933450"/>
        </a:xfrm>
        <a:prstGeom prst="rect"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0</xdr:row>
          <xdr:rowOff>0</xdr:rowOff>
        </xdr:from>
        <xdr:to>
          <xdr:col>7</xdr:col>
          <xdr:colOff>561975</xdr:colOff>
          <xdr:row>4</xdr:row>
          <xdr:rowOff>152400</xdr:rowOff>
        </xdr:to>
        <xdr:sp>
          <xdr:nvSpPr>
            <xdr:cNvPr id="1061" name="Object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360b0f8-66ef-598d-8b87-e4ad923bd8e7}"/>
                </a:ext>
              </a:extLst>
            </xdr:cNvPr>
            <xdr:cNvSpPr>
              <a:spLocks noChangeAspect="1"/>
            </xdr:cNvSpPr>
          </xdr:nvSpPr>
          <xdr:spPr bwMode="auto">
            <a:xfrm>
              <a:off x="5991225" y="0"/>
              <a:ext cx="542925" cy="914400"/>
            </a:xfrm>
            <a:prstGeom prst="rect"/>
            <a:solidFill>
              <a:srgbClr val="FFFFFF"/>
            </a:solidFill>
            <a:ln w="9525">
              <a:solidFill>
                <a:srgbClr val="000000"/>
              </a:solidFill>
              <a:miter lim="800000"/>
            </a:ln>
          </xdr:spPr>
        </xdr:sp>
        <xdr:clientData/>
      </xdr:twoCellAnchor>
    </mc:Choice>
    <mc:Fallback/>
  </mc:AlternateContent>
  <xdr:twoCellAnchor editAs="oneCell">
    <xdr:from>
      <xdr:col>2</xdr:col>
      <xdr:colOff>723900</xdr:colOff>
      <xdr:row>20</xdr:row>
      <xdr:rowOff>76200</xdr:rowOff>
    </xdr:from>
    <xdr:to>
      <xdr:col>5</xdr:col>
      <xdr:colOff>152400</xdr:colOff>
      <xdr:row>26</xdr:row>
      <xdr:rowOff>1856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37a3e02-7308-4897-8b7d-9a129eb71348}"/>
            </a:ext>
          </a:extLst>
        </xdr:cNvPr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105150" y="4210050"/>
          <a:ext cx="1590675" cy="1009650"/>
        </a:xfrm>
        <a:prstGeom prst="rect"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1</xdr:col>
      <xdr:colOff>485775</xdr:colOff>
      <xdr:row>0</xdr:row>
      <xdr:rowOff>0</xdr:rowOff>
    </xdr:from>
    <xdr:to>
      <xdr:col>3</xdr:col>
      <xdr:colOff>500772</xdr:colOff>
      <xdr:row>4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e4c7cf-2328-7232-6a8e-7dfe32796d15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0"/>
          <a:ext cx="1066800" cy="933450"/>
        </a:xfrm>
        <a:prstGeom prst="rect"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0</xdr:row>
          <xdr:rowOff>0</xdr:rowOff>
        </xdr:from>
        <xdr:to>
          <xdr:col>8</xdr:col>
          <xdr:colOff>571500</xdr:colOff>
          <xdr:row>4</xdr:row>
          <xdr:rowOff>152400</xdr:rowOff>
        </xdr:to>
        <xdr:sp>
          <xdr:nvSpPr>
            <xdr:cNvPr id="25601" name="Object 1" hidden="1">
              <a:extLst>
                <a:ext uri="{63B3BB69-23CF-44E3-9099-C40C66FF867C}">
                  <a14:compatExt spid="_x0000_s25601"/>
                </a:ext>
                <a:ext uri="{FF2B5EF4-FFF2-40B4-BE49-F238E27FC236}">
                  <a16:creationId xmlns:a16="http://schemas.microsoft.com/office/drawing/2014/main" id="{0360b0f8-66ef-598d-8b87-e4ad923bd8e7}"/>
                </a:ext>
              </a:extLst>
            </xdr:cNvPr>
            <xdr:cNvSpPr>
              <a:spLocks noChangeAspect="1"/>
            </xdr:cNvSpPr>
          </xdr:nvSpPr>
          <xdr:spPr bwMode="auto">
            <a:xfrm>
              <a:off x="6191250" y="0"/>
              <a:ext cx="542925" cy="914400"/>
            </a:xfrm>
            <a:prstGeom prst="rect"/>
            <a:solidFill>
              <a:srgbClr val="FFFFFF"/>
            </a:solidFill>
            <a:ln w="9525">
              <a:solidFill>
                <a:srgbClr val="000000"/>
              </a:solidFill>
              <a:miter lim="800000"/>
            </a:ln>
          </xdr:spPr>
        </xdr:sp>
        <xdr:clientData/>
      </xdr:twoCellAnchor>
    </mc:Choice>
    <mc:Fallback/>
  </mc:AlternateContent>
  <xdr:twoCellAnchor editAs="oneCell">
    <xdr:from>
      <xdr:col>4</xdr:col>
      <xdr:colOff>0</xdr:colOff>
      <xdr:row>23</xdr:row>
      <xdr:rowOff>114300</xdr:rowOff>
    </xdr:from>
    <xdr:to>
      <xdr:col>6</xdr:col>
      <xdr:colOff>275993</xdr:colOff>
      <xdr:row>30</xdr:row>
      <xdr:rowOff>28427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c7221e1-8ec6-469a-8903-cee90e56a68a}"/>
            </a:ext>
          </a:extLst>
        </xdr:cNvPr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676525" y="4743450"/>
          <a:ext cx="1857375" cy="1181100"/>
        </a:xfrm>
        <a:prstGeom prst="rect"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1</xdr:col>
      <xdr:colOff>466725</xdr:colOff>
      <xdr:row>0</xdr:row>
      <xdr:rowOff>0</xdr:rowOff>
    </xdr:from>
    <xdr:to>
      <xdr:col>3</xdr:col>
      <xdr:colOff>481722</xdr:colOff>
      <xdr:row>4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e4c7cf-2328-7232-6a8e-7dfe32796d15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62100" y="0"/>
          <a:ext cx="1066800" cy="933450"/>
        </a:xfrm>
        <a:prstGeom prst="rect"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0</xdr:row>
          <xdr:rowOff>0</xdr:rowOff>
        </xdr:from>
        <xdr:to>
          <xdr:col>8</xdr:col>
          <xdr:colOff>552450</xdr:colOff>
          <xdr:row>4</xdr:row>
          <xdr:rowOff>152400</xdr:rowOff>
        </xdr:to>
        <xdr:sp>
          <xdr:nvSpPr>
            <xdr:cNvPr id="26625" name="Object 1" hidden="1">
              <a:extLst>
                <a:ext uri="{63B3BB69-23CF-44E3-9099-C40C66FF867C}">
                  <a14:compatExt spid="_x0000_s26625"/>
                </a:ext>
                <a:ext uri="{FF2B5EF4-FFF2-40B4-BE49-F238E27FC236}">
                  <a16:creationId xmlns:a16="http://schemas.microsoft.com/office/drawing/2014/main" id="{0360b0f8-66ef-598d-8b87-e4ad923bd8e7}"/>
                </a:ext>
              </a:extLst>
            </xdr:cNvPr>
            <xdr:cNvSpPr>
              <a:spLocks noChangeAspect="1"/>
            </xdr:cNvSpPr>
          </xdr:nvSpPr>
          <xdr:spPr bwMode="auto">
            <a:xfrm>
              <a:off x="6172200" y="0"/>
              <a:ext cx="542925" cy="914400"/>
            </a:xfrm>
            <a:prstGeom prst="rect"/>
            <a:solidFill>
              <a:srgbClr val="FFFFFF"/>
            </a:solidFill>
            <a:ln w="9525">
              <a:solidFill>
                <a:srgbClr val="000000"/>
              </a:solidFill>
              <a:miter lim="800000"/>
            </a:ln>
          </xdr:spPr>
        </xdr:sp>
        <xdr:clientData/>
      </xdr:twoCellAnchor>
    </mc:Choice>
    <mc:Fallback/>
  </mc:AlternateContent>
  <xdr:twoCellAnchor editAs="oneCell">
    <xdr:from>
      <xdr:col>4</xdr:col>
      <xdr:colOff>209550</xdr:colOff>
      <xdr:row>22</xdr:row>
      <xdr:rowOff>38100</xdr:rowOff>
    </xdr:from>
    <xdr:to>
      <xdr:col>6</xdr:col>
      <xdr:colOff>485543</xdr:colOff>
      <xdr:row>28</xdr:row>
      <xdr:rowOff>133202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70a3c04-4fa4-4117-8da9-b637120db389}"/>
            </a:ext>
          </a:extLst>
        </xdr:cNvPr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86075" y="4486275"/>
          <a:ext cx="1857375" cy="1181100"/>
        </a:xfrm>
        <a:prstGeom prst="rect"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1</xdr:col>
      <xdr:colOff>504825</xdr:colOff>
      <xdr:row>0</xdr:row>
      <xdr:rowOff>0</xdr:rowOff>
    </xdr:from>
    <xdr:to>
      <xdr:col>3</xdr:col>
      <xdr:colOff>519822</xdr:colOff>
      <xdr:row>4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e4c7cf-2328-7232-6a8e-7dfe32796d15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00200" y="0"/>
          <a:ext cx="1066800" cy="933450"/>
        </a:xfrm>
        <a:prstGeom prst="rect"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0</xdr:row>
          <xdr:rowOff>0</xdr:rowOff>
        </xdr:from>
        <xdr:to>
          <xdr:col>8</xdr:col>
          <xdr:colOff>590550</xdr:colOff>
          <xdr:row>4</xdr:row>
          <xdr:rowOff>152400</xdr:rowOff>
        </xdr:to>
        <xdr:sp>
          <xdr:nvSpPr>
            <xdr:cNvPr id="27649" name="Object 1" hidden="1">
              <a:extLst>
                <a:ext uri="{63B3BB69-23CF-44E3-9099-C40C66FF867C}">
                  <a14:compatExt spid="_x0000_s27649"/>
                </a:ext>
                <a:ext uri="{FF2B5EF4-FFF2-40B4-BE49-F238E27FC236}">
                  <a16:creationId xmlns:a16="http://schemas.microsoft.com/office/drawing/2014/main" id="{0360b0f8-66ef-598d-8b87-e4ad923bd8e7}"/>
                </a:ext>
              </a:extLst>
            </xdr:cNvPr>
            <xdr:cNvSpPr>
              <a:spLocks noChangeAspect="1"/>
            </xdr:cNvSpPr>
          </xdr:nvSpPr>
          <xdr:spPr bwMode="auto">
            <a:xfrm>
              <a:off x="6210300" y="0"/>
              <a:ext cx="542925" cy="914400"/>
            </a:xfrm>
            <a:prstGeom prst="rect"/>
            <a:solidFill>
              <a:srgbClr val="FFFFFF"/>
            </a:solidFill>
            <a:ln w="9525">
              <a:solidFill>
                <a:srgbClr val="000000"/>
              </a:solidFill>
              <a:miter lim="800000"/>
            </a:ln>
          </xdr:spPr>
        </xdr:sp>
        <xdr:clientData/>
      </xdr:twoCellAnchor>
    </mc:Choice>
    <mc:Fallback/>
  </mc:AlternateContent>
  <xdr:twoCellAnchor editAs="oneCell">
    <xdr:from>
      <xdr:col>5</xdr:col>
      <xdr:colOff>66675</xdr:colOff>
      <xdr:row>20</xdr:row>
      <xdr:rowOff>152400</xdr:rowOff>
    </xdr:from>
    <xdr:to>
      <xdr:col>7</xdr:col>
      <xdr:colOff>190268</xdr:colOff>
      <xdr:row>27</xdr:row>
      <xdr:rowOff>66527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bd0d7fb-6865-4185-a5e6-2583d0dec02c}"/>
            </a:ext>
          </a:extLst>
        </xdr:cNvPr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05200" y="4238625"/>
          <a:ext cx="1857375" cy="1181100"/>
        </a:xfrm>
        <a:prstGeom prst="rect"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104775</xdr:colOff>
      <xdr:row>0</xdr:row>
      <xdr:rowOff>47625</xdr:rowOff>
    </xdr:from>
    <xdr:to>
      <xdr:col>1</xdr:col>
      <xdr:colOff>176922</xdr:colOff>
      <xdr:row>4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e4c7cf-2328-7232-6a8e-7dfe32796d15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775" y="47625"/>
          <a:ext cx="1066800" cy="933450"/>
        </a:xfrm>
        <a:prstGeom prst="rect"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0</xdr:row>
          <xdr:rowOff>57150</xdr:rowOff>
        </xdr:from>
        <xdr:to>
          <xdr:col>7</xdr:col>
          <xdr:colOff>590550</xdr:colOff>
          <xdr:row>4</xdr:row>
          <xdr:rowOff>152400</xdr:rowOff>
        </xdr:to>
        <xdr:sp>
          <xdr:nvSpPr>
            <xdr:cNvPr id="28673" name="Object 1" hidden="1">
              <a:extLst>
                <a:ext uri="{63B3BB69-23CF-44E3-9099-C40C66FF867C}">
                  <a14:compatExt spid="_x0000_s28673"/>
                </a:ext>
                <a:ext uri="{FF2B5EF4-FFF2-40B4-BE49-F238E27FC236}">
                  <a16:creationId xmlns:a16="http://schemas.microsoft.com/office/drawing/2014/main" id="{0360b0f8-66ef-598d-8b87-e4ad923bd8e7}"/>
                </a:ext>
              </a:extLst>
            </xdr:cNvPr>
            <xdr:cNvSpPr>
              <a:spLocks noChangeAspect="1"/>
            </xdr:cNvSpPr>
          </xdr:nvSpPr>
          <xdr:spPr bwMode="auto">
            <a:xfrm>
              <a:off x="4724400" y="57150"/>
              <a:ext cx="542925" cy="914400"/>
            </a:xfrm>
            <a:prstGeom prst="rect"/>
            <a:solidFill>
              <a:srgbClr val="FFFFFF"/>
            </a:solidFill>
            <a:ln w="9525">
              <a:solidFill>
                <a:srgbClr val="000000"/>
              </a:solidFill>
              <a:miter lim="800000"/>
            </a:ln>
          </xdr:spPr>
        </xdr:sp>
        <xdr:clientData/>
      </xdr:twoCellAnchor>
    </mc:Choice>
    <mc:Fallback/>
  </mc:AlternateContent>
  <xdr:twoCellAnchor editAs="oneCell">
    <xdr:from>
      <xdr:col>5</xdr:col>
      <xdr:colOff>66675</xdr:colOff>
      <xdr:row>21</xdr:row>
      <xdr:rowOff>0</xdr:rowOff>
    </xdr:from>
    <xdr:to>
      <xdr:col>7</xdr:col>
      <xdr:colOff>495068</xdr:colOff>
      <xdr:row>27</xdr:row>
      <xdr:rowOff>95102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1081a6a-c4f7-45c4-ae8f-0acba0cc1c03}"/>
            </a:ext>
          </a:extLst>
        </xdr:cNvPr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314700" y="4705350"/>
          <a:ext cx="1857375" cy="1181100"/>
        </a:xfrm>
        <a:prstGeom prst="rect"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495300</xdr:colOff>
      <xdr:row>0</xdr:row>
      <xdr:rowOff>28575</xdr:rowOff>
    </xdr:from>
    <xdr:to>
      <xdr:col>1</xdr:col>
      <xdr:colOff>262647</xdr:colOff>
      <xdr:row>4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e4c7cf-2328-7232-6a8e-7dfe32796d15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5300" y="28575"/>
          <a:ext cx="1066800" cy="933450"/>
        </a:xfrm>
        <a:prstGeom prst="rect"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0</xdr:row>
          <xdr:rowOff>38100</xdr:rowOff>
        </xdr:from>
        <xdr:to>
          <xdr:col>7</xdr:col>
          <xdr:colOff>619125</xdr:colOff>
          <xdr:row>4</xdr:row>
          <xdr:rowOff>123825</xdr:rowOff>
        </xdr:to>
        <xdr:sp>
          <xdr:nvSpPr>
            <xdr:cNvPr id="29697" name="Object 1" hidden="1">
              <a:extLst>
                <a:ext uri="{63B3BB69-23CF-44E3-9099-C40C66FF867C}">
                  <a14:compatExt spid="_x0000_s29697"/>
                </a:ext>
                <a:ext uri="{FF2B5EF4-FFF2-40B4-BE49-F238E27FC236}">
                  <a16:creationId xmlns:a16="http://schemas.microsoft.com/office/drawing/2014/main" id="{0360b0f8-66ef-598d-8b87-e4ad923bd8e7}"/>
                </a:ext>
              </a:extLst>
            </xdr:cNvPr>
            <xdr:cNvSpPr>
              <a:spLocks noChangeAspect="1"/>
            </xdr:cNvSpPr>
          </xdr:nvSpPr>
          <xdr:spPr bwMode="auto">
            <a:xfrm>
              <a:off x="5114925" y="38100"/>
              <a:ext cx="542925" cy="914400"/>
            </a:xfrm>
            <a:prstGeom prst="rect"/>
            <a:solidFill>
              <a:srgbClr val="FFFFFF"/>
            </a:solidFill>
            <a:ln w="9525">
              <a:solidFill>
                <a:srgbClr val="000000"/>
              </a:solidFill>
              <a:miter lim="800000"/>
            </a:ln>
          </xdr:spPr>
        </xdr:sp>
        <xdr:clientData/>
      </xdr:twoCellAnchor>
    </mc:Choice>
    <mc:Fallback/>
  </mc:AlternateContent>
  <xdr:twoCellAnchor editAs="oneCell">
    <xdr:from>
      <xdr:col>5</xdr:col>
      <xdr:colOff>190500</xdr:colOff>
      <xdr:row>21</xdr:row>
      <xdr:rowOff>114300</xdr:rowOff>
    </xdr:from>
    <xdr:to>
      <xdr:col>7</xdr:col>
      <xdr:colOff>637943</xdr:colOff>
      <xdr:row>28</xdr:row>
      <xdr:rowOff>28427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04ed047-05c9-4894-b819-46ea9ba01d9e}"/>
            </a:ext>
          </a:extLst>
        </xdr:cNvPr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19525" y="4543425"/>
          <a:ext cx="1857375" cy="1181100"/>
        </a:xfrm>
        <a:prstGeom prst="rect"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5</xdr:col>
      <xdr:colOff>238125</xdr:colOff>
      <xdr:row>20</xdr:row>
      <xdr:rowOff>95250</xdr:rowOff>
    </xdr:from>
    <xdr:to>
      <xdr:col>7</xdr:col>
      <xdr:colOff>647468</xdr:colOff>
      <xdr:row>27</xdr:row>
      <xdr:rowOff>9377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25a7ab-924e-440c-a78c-bff70673e313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57600" y="4629150"/>
          <a:ext cx="1857375" cy="1181100"/>
        </a:xfrm>
        <a:prstGeom prst="rect"/>
      </xdr:spPr>
    </xdr:pic>
    <xdr:clientData/>
  </xdr:twoCellAnchor>
  <xdr:twoCellAnchor editAs="oneCell">
    <xdr:from>
      <xdr:col>0</xdr:col>
      <xdr:colOff>266700</xdr:colOff>
      <xdr:row>0</xdr:row>
      <xdr:rowOff>76200</xdr:rowOff>
    </xdr:from>
    <xdr:to>
      <xdr:col>1</xdr:col>
      <xdr:colOff>234072</xdr:colOff>
      <xdr:row>4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7e4c7cf-2328-7232-6a8e-7dfe32796d15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6700" y="76200"/>
          <a:ext cx="1066800" cy="933450"/>
        </a:xfrm>
        <a:prstGeom prst="rect"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0</xdr:row>
          <xdr:rowOff>85725</xdr:rowOff>
        </xdr:from>
        <xdr:to>
          <xdr:col>7</xdr:col>
          <xdr:colOff>561975</xdr:colOff>
          <xdr:row>4</xdr:row>
          <xdr:rowOff>104775</xdr:rowOff>
        </xdr:to>
        <xdr:sp>
          <xdr:nvSpPr>
            <xdr:cNvPr id="30721" name="Object 1" hidden="1">
              <a:extLst>
                <a:ext uri="{63B3BB69-23CF-44E3-9099-C40C66FF867C}">
                  <a14:compatExt spid="_x0000_s30721"/>
                </a:ext>
                <a:ext uri="{FF2B5EF4-FFF2-40B4-BE49-F238E27FC236}">
                  <a16:creationId xmlns:a16="http://schemas.microsoft.com/office/drawing/2014/main" id="{0360b0f8-66ef-598d-8b87-e4ad923bd8e7}"/>
                </a:ext>
              </a:extLst>
            </xdr:cNvPr>
            <xdr:cNvSpPr>
              <a:spLocks noChangeAspect="1"/>
            </xdr:cNvSpPr>
          </xdr:nvSpPr>
          <xdr:spPr bwMode="auto">
            <a:xfrm>
              <a:off x="4886325" y="85725"/>
              <a:ext cx="542925" cy="914400"/>
            </a:xfrm>
            <a:prstGeom prst="rect"/>
            <a:solidFill>
              <a:srgbClr val="FFFFFF"/>
            </a:solidFill>
            <a:ln w="9525">
              <a:solidFill>
                <a:srgbClr val="000000"/>
              </a:solidFill>
              <a:miter lim="800000"/>
            </a:ln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1819275</xdr:colOff>
      <xdr:row>0</xdr:row>
      <xdr:rowOff>9526</xdr:rowOff>
    </xdr:from>
    <xdr:to>
      <xdr:col>2</xdr:col>
      <xdr:colOff>500772</xdr:colOff>
      <xdr:row>5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e4c7cf-2328-7232-6a8e-7dfe32796d15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19275" y="9525"/>
          <a:ext cx="1066800" cy="942975"/>
        </a:xfrm>
        <a:prstGeom prst="rect"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0</xdr:row>
          <xdr:rowOff>19050</xdr:rowOff>
        </xdr:from>
        <xdr:to>
          <xdr:col>7</xdr:col>
          <xdr:colOff>542925</xdr:colOff>
          <xdr:row>4</xdr:row>
          <xdr:rowOff>171450</xdr:rowOff>
        </xdr:to>
        <xdr:sp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360b0f8-66ef-598d-8b87-e4ad923bd8e7}"/>
                </a:ext>
              </a:extLst>
            </xdr:cNvPr>
            <xdr:cNvSpPr>
              <a:spLocks noChangeAspect="1"/>
            </xdr:cNvSpPr>
          </xdr:nvSpPr>
          <xdr:spPr bwMode="auto">
            <a:xfrm>
              <a:off x="5972175" y="19050"/>
              <a:ext cx="542925" cy="914400"/>
            </a:xfrm>
            <a:prstGeom prst="rect"/>
            <a:solidFill>
              <a:srgbClr val="FFFFFF"/>
            </a:solidFill>
            <a:ln w="9525">
              <a:solidFill>
                <a:srgbClr val="000000"/>
              </a:solidFill>
              <a:miter lim="800000"/>
            </a:ln>
          </xdr:spPr>
        </xdr:sp>
        <xdr:clientData/>
      </xdr:twoCellAnchor>
    </mc:Choice>
    <mc:Fallback/>
  </mc:AlternateContent>
  <xdr:twoCellAnchor editAs="oneCell">
    <xdr:from>
      <xdr:col>3</xdr:col>
      <xdr:colOff>28575</xdr:colOff>
      <xdr:row>21</xdr:row>
      <xdr:rowOff>95250</xdr:rowOff>
    </xdr:from>
    <xdr:to>
      <xdr:col>5</xdr:col>
      <xdr:colOff>187582</xdr:colOff>
      <xdr:row>27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2d61d0a-6417-4667-9e38-6f77bbbcab77}"/>
            </a:ext>
          </a:extLst>
        </xdr:cNvPr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143250" y="4410075"/>
          <a:ext cx="1590675" cy="1009650"/>
        </a:xfrm>
        <a:prstGeom prst="rect"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1</xdr:col>
      <xdr:colOff>38100</xdr:colOff>
      <xdr:row>0</xdr:row>
      <xdr:rowOff>9525</xdr:rowOff>
    </xdr:from>
    <xdr:to>
      <xdr:col>2</xdr:col>
      <xdr:colOff>576972</xdr:colOff>
      <xdr:row>4</xdr:row>
      <xdr:rowOff>180975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7e4c7cf-2328-7232-6a8e-7dfe32796d15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95475" y="9525"/>
          <a:ext cx="1066800" cy="933450"/>
        </a:xfrm>
        <a:prstGeom prst="rect"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952500</xdr:colOff>
          <xdr:row>0</xdr:row>
          <xdr:rowOff>19049</xdr:rowOff>
        </xdr:from>
        <xdr:to>
          <xdr:col>7</xdr:col>
          <xdr:colOff>542925</xdr:colOff>
          <xdr:row>4</xdr:row>
          <xdr:rowOff>171449</xdr:rowOff>
        </xdr:to>
        <xdr:sp>
          <xdr:nvSpPr>
            <xdr:cNvPr id="3074" name="Object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360b0f8-66ef-598d-8b87-e4ad923bd8e7}"/>
                </a:ext>
              </a:extLst>
            </xdr:cNvPr>
            <xdr:cNvSpPr>
              <a:spLocks noChangeAspect="1"/>
            </xdr:cNvSpPr>
          </xdr:nvSpPr>
          <xdr:spPr bwMode="auto">
            <a:xfrm>
              <a:off x="5972175" y="19050"/>
              <a:ext cx="542925" cy="914400"/>
            </a:xfrm>
            <a:prstGeom prst="rect"/>
            <a:solidFill>
              <a:srgbClr val="FFFFFF"/>
            </a:solidFill>
            <a:ln w="9525">
              <a:solidFill>
                <a:srgbClr val="000000"/>
              </a:solidFill>
              <a:miter lim="800000"/>
            </a:ln>
          </xdr:spPr>
        </xdr:sp>
        <xdr:clientData/>
      </xdr:twoCellAnchor>
    </mc:Choice>
    <mc:Fallback/>
  </mc:AlternateContent>
  <xdr:twoCellAnchor editAs="oneCell">
    <xdr:from>
      <xdr:col>3</xdr:col>
      <xdr:colOff>38100</xdr:colOff>
      <xdr:row>20</xdr:row>
      <xdr:rowOff>104775</xdr:rowOff>
    </xdr:from>
    <xdr:to>
      <xdr:col>5</xdr:col>
      <xdr:colOff>200025</xdr:colOff>
      <xdr:row>26</xdr:row>
      <xdr:rowOff>30431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672b3d1-1ac8-4723-ad5b-33bc010e9ee0}"/>
            </a:ext>
          </a:extLst>
        </xdr:cNvPr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152775" y="4238625"/>
          <a:ext cx="1590675" cy="1009650"/>
        </a:xfrm>
        <a:prstGeom prst="rect"/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.xml" /><Relationship Id="rId2" Type="http://schemas.openxmlformats.org/officeDocument/2006/relationships/vmlDrawing" Target="../drawings/vmlDrawing9.vml" /><Relationship Id="rId3" Type="http://schemas.openxmlformats.org/officeDocument/2006/relationships/printerSettings" Target="../printerSettings/printerSettings4.bin" 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.xml" /><Relationship Id="rId2" Type="http://schemas.openxmlformats.org/officeDocument/2006/relationships/vmlDrawing" Target="../drawings/vmlDrawing10.vml" /><Relationship Id="rId3" Type="http://schemas.openxmlformats.org/officeDocument/2006/relationships/printerSettings" Target="../printerSettings/printerSettings5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vmlDrawing" Target="../drawings/vmlDrawing1.v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 /><Relationship Id="rId2" Type="http://schemas.openxmlformats.org/officeDocument/2006/relationships/vmlDrawing" Target="../drawings/vmlDrawing2.vml" /><Relationship Id="rId3" Type="http://schemas.openxmlformats.org/officeDocument/2006/relationships/printerSettings" Target="../printerSettings/printerSettings1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 /><Relationship Id="rId2" Type="http://schemas.openxmlformats.org/officeDocument/2006/relationships/vmlDrawing" Target="../drawings/vmlDrawing3.vml" /><Relationship Id="rId3" Type="http://schemas.openxmlformats.org/officeDocument/2006/relationships/printerSettings" Target="../printerSettings/printerSettings2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 /><Relationship Id="rId2" Type="http://schemas.openxmlformats.org/officeDocument/2006/relationships/vmlDrawing" Target="../drawings/vmlDrawing4.vml" /><Relationship Id="rId3" Type="http://schemas.openxmlformats.org/officeDocument/2006/relationships/printerSettings" Target="../printerSettings/printerSettings3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 /><Relationship Id="rId2" Type="http://schemas.openxmlformats.org/officeDocument/2006/relationships/vmlDrawing" Target="../drawings/vmlDrawing5.vml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 /><Relationship Id="rId2" Type="http://schemas.openxmlformats.org/officeDocument/2006/relationships/vmlDrawing" Target="../drawings/vmlDrawing6.vml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 /><Relationship Id="rId2" Type="http://schemas.openxmlformats.org/officeDocument/2006/relationships/vmlDrawing" Target="../drawings/vmlDrawing7.vml" 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.xml" /><Relationship Id="rId2" Type="http://schemas.openxmlformats.org/officeDocument/2006/relationships/vmlDrawing" Target="../drawings/vmlDrawing8.v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4"/>
  <sheetViews>
    <sheetView tabSelected="1" workbookViewId="0" topLeftCell="A1">
      <selection pane="topLeft" activeCell="C5" sqref="C5"/>
    </sheetView>
  </sheetViews>
  <sheetFormatPr defaultRowHeight="15"/>
  <cols>
    <col min="1" max="1" width="24.142857142857142" bestFit="1" customWidth="1"/>
    <col min="2" max="2" width="14.857142857142858" style="58" bestFit="1" customWidth="1"/>
    <col min="3" max="3" width="15" style="58" bestFit="1" customWidth="1"/>
    <col min="4" max="4" width="14.285714285714286" style="117" bestFit="1" customWidth="1"/>
    <col min="5" max="5" width="23.714285714285715" bestFit="1" customWidth="1"/>
    <col min="6" max="6" width="24.142857142857142" bestFit="1" customWidth="1"/>
    <col min="7" max="7" width="23.714285714285715" style="58" bestFit="1" customWidth="1"/>
    <col min="8" max="8" width="20.428571428571427" bestFit="1" customWidth="1"/>
  </cols>
  <sheetData>
    <row r="1" spans="1:5" ht="15">
      <c r="A1" s="134" t="s">
        <v>164</v>
      </c>
      <c r="B1" s="134" t="s">
        <v>270</v>
      </c>
      <c r="C1" s="134" t="s">
        <v>271</v>
      </c>
      <c r="D1" s="134" t="s">
        <v>165</v>
      </c>
      <c r="E1" s="134" t="s">
        <v>4</v>
      </c>
    </row>
    <row r="2" spans="1:5" ht="15.75">
      <c r="A2" s="131" t="s">
        <v>136</v>
      </c>
      <c r="B2" s="131" t="s">
        <v>197</v>
      </c>
      <c r="C2" s="131" t="s">
        <v>196</v>
      </c>
      <c r="D2" s="133" t="s">
        <v>185</v>
      </c>
      <c r="E2" s="132" t="s">
        <v>38</v>
      </c>
    </row>
    <row r="3" spans="1:5" ht="15.75">
      <c r="A3" s="131" t="s">
        <v>120</v>
      </c>
      <c r="B3" s="131" t="s">
        <v>198</v>
      </c>
      <c r="C3" s="131" t="s">
        <v>199</v>
      </c>
      <c r="D3" s="133" t="s">
        <v>170</v>
      </c>
      <c r="E3" s="132" t="s">
        <v>16</v>
      </c>
    </row>
    <row r="4" spans="1:5" ht="15.75">
      <c r="A4" s="131" t="s">
        <v>157</v>
      </c>
      <c r="B4" s="131" t="s">
        <v>200</v>
      </c>
      <c r="C4" s="131" t="s">
        <v>201</v>
      </c>
      <c r="D4" s="133" t="s">
        <v>272</v>
      </c>
      <c r="E4" s="132" t="s">
        <v>39</v>
      </c>
    </row>
    <row r="5" spans="1:5" ht="15.75">
      <c r="A5" s="131" t="s">
        <v>116</v>
      </c>
      <c r="B5" s="131" t="s">
        <v>202</v>
      </c>
      <c r="C5" s="131" t="s">
        <v>203</v>
      </c>
      <c r="D5" s="133" t="s">
        <v>180</v>
      </c>
      <c r="E5" s="132" t="s">
        <v>13</v>
      </c>
    </row>
    <row r="6" spans="1:5" ht="15.75">
      <c r="A6" s="131" t="s">
        <v>137</v>
      </c>
      <c r="B6" s="131" t="s">
        <v>204</v>
      </c>
      <c r="C6" s="131" t="s">
        <v>205</v>
      </c>
      <c r="D6" s="133" t="s">
        <v>174</v>
      </c>
      <c r="E6" s="132" t="s">
        <v>15</v>
      </c>
    </row>
    <row r="7" spans="1:5" ht="15.75">
      <c r="A7" s="131" t="s">
        <v>139</v>
      </c>
      <c r="B7" s="131" t="s">
        <v>204</v>
      </c>
      <c r="C7" s="131" t="s">
        <v>206</v>
      </c>
      <c r="D7" s="133" t="s">
        <v>175</v>
      </c>
      <c r="E7" s="132" t="s">
        <v>17</v>
      </c>
    </row>
    <row r="8" spans="1:5" ht="15.75">
      <c r="A8" s="131" t="s">
        <v>112</v>
      </c>
      <c r="B8" s="131" t="s">
        <v>207</v>
      </c>
      <c r="C8" s="131" t="s">
        <v>208</v>
      </c>
      <c r="D8" s="133" t="s">
        <v>273</v>
      </c>
      <c r="E8" s="132" t="s">
        <v>27</v>
      </c>
    </row>
    <row r="9" spans="1:5" ht="15.75">
      <c r="A9" s="131" t="s">
        <v>132</v>
      </c>
      <c r="B9" s="131" t="s">
        <v>209</v>
      </c>
      <c r="C9" s="131" t="s">
        <v>210</v>
      </c>
      <c r="D9" s="133" t="s">
        <v>172</v>
      </c>
      <c r="E9" s="132" t="s">
        <v>32</v>
      </c>
    </row>
    <row r="10" spans="1:5" ht="15.75">
      <c r="A10" s="131" t="s">
        <v>147</v>
      </c>
      <c r="B10" s="131" t="s">
        <v>211</v>
      </c>
      <c r="C10" s="131" t="s">
        <v>212</v>
      </c>
      <c r="D10" s="133" t="s">
        <v>191</v>
      </c>
      <c r="E10" s="132" t="s">
        <v>35</v>
      </c>
    </row>
    <row r="11" spans="1:5" ht="15.75">
      <c r="A11" s="131" t="s">
        <v>274</v>
      </c>
      <c r="B11" s="131" t="s">
        <v>213</v>
      </c>
      <c r="C11" s="131" t="s">
        <v>214</v>
      </c>
      <c r="D11" s="133" t="s">
        <v>275</v>
      </c>
      <c r="E11" s="132" t="s">
        <v>18</v>
      </c>
    </row>
    <row r="12" spans="1:5" ht="15.75">
      <c r="A12" s="131" t="s">
        <v>138</v>
      </c>
      <c r="B12" s="131" t="s">
        <v>215</v>
      </c>
      <c r="C12" s="131" t="s">
        <v>216</v>
      </c>
      <c r="D12" s="133" t="s">
        <v>186</v>
      </c>
      <c r="E12" s="132" t="s">
        <v>15</v>
      </c>
    </row>
    <row r="13" spans="1:5" ht="15.75">
      <c r="A13" s="131" t="s">
        <v>145</v>
      </c>
      <c r="B13" s="131" t="s">
        <v>215</v>
      </c>
      <c r="C13" s="131" t="s">
        <v>217</v>
      </c>
      <c r="D13" s="133" t="s">
        <v>283</v>
      </c>
      <c r="E13" s="132" t="s">
        <v>14</v>
      </c>
    </row>
    <row r="14" spans="1:5" ht="15.75">
      <c r="A14" s="131" t="s">
        <v>150</v>
      </c>
      <c r="B14" s="131" t="s">
        <v>218</v>
      </c>
      <c r="C14" s="131" t="s">
        <v>219</v>
      </c>
      <c r="D14" s="133" t="s">
        <v>276</v>
      </c>
      <c r="E14" s="132" t="s">
        <v>39</v>
      </c>
    </row>
    <row r="15" spans="1:5" ht="15.75">
      <c r="A15" s="131" t="s">
        <v>135</v>
      </c>
      <c r="B15" s="131" t="s">
        <v>218</v>
      </c>
      <c r="C15" s="131" t="s">
        <v>220</v>
      </c>
      <c r="D15" s="133" t="s">
        <v>173</v>
      </c>
      <c r="E15" s="132" t="s">
        <v>38</v>
      </c>
    </row>
    <row r="16" spans="1:5" ht="15.75">
      <c r="A16" s="131" t="s">
        <v>114</v>
      </c>
      <c r="B16" s="131" t="s">
        <v>221</v>
      </c>
      <c r="C16" s="131" t="s">
        <v>222</v>
      </c>
      <c r="D16" s="133" t="s">
        <v>166</v>
      </c>
      <c r="E16" s="132" t="s">
        <v>53</v>
      </c>
    </row>
    <row r="17" spans="1:5" ht="15.75">
      <c r="A17" s="131" t="s">
        <v>149</v>
      </c>
      <c r="B17" s="131" t="s">
        <v>223</v>
      </c>
      <c r="C17" s="131" t="s">
        <v>224</v>
      </c>
      <c r="D17" s="133" t="s">
        <v>178</v>
      </c>
      <c r="E17" s="132" t="s">
        <v>39</v>
      </c>
    </row>
    <row r="18" spans="1:5" ht="15.75">
      <c r="A18" s="131" t="s">
        <v>126</v>
      </c>
      <c r="B18" s="131" t="s">
        <v>223</v>
      </c>
      <c r="C18" s="131" t="s">
        <v>225</v>
      </c>
      <c r="D18" s="133" t="s">
        <v>171</v>
      </c>
      <c r="E18" s="132" t="s">
        <v>30</v>
      </c>
    </row>
    <row r="19" spans="1:5" ht="15.75">
      <c r="A19" s="131" t="s">
        <v>142</v>
      </c>
      <c r="B19" s="131" t="s">
        <v>223</v>
      </c>
      <c r="C19" s="131" t="s">
        <v>226</v>
      </c>
      <c r="D19" s="133" t="s">
        <v>188</v>
      </c>
      <c r="E19" s="132" t="s">
        <v>31</v>
      </c>
    </row>
    <row r="20" spans="1:5" ht="15.75">
      <c r="A20" s="131" t="s">
        <v>143</v>
      </c>
      <c r="B20" s="131" t="s">
        <v>227</v>
      </c>
      <c r="C20" s="131" t="s">
        <v>228</v>
      </c>
      <c r="D20" s="133" t="s">
        <v>177</v>
      </c>
      <c r="E20" s="132" t="s">
        <v>29</v>
      </c>
    </row>
    <row r="21" spans="1:5" ht="15.75">
      <c r="A21" s="131" t="s">
        <v>133</v>
      </c>
      <c r="B21" s="131" t="s">
        <v>229</v>
      </c>
      <c r="C21" s="131" t="s">
        <v>230</v>
      </c>
      <c r="D21" s="133" t="s">
        <v>184</v>
      </c>
      <c r="E21" s="132" t="s">
        <v>32</v>
      </c>
    </row>
    <row r="22" spans="1:5" ht="15.75">
      <c r="A22" s="131" t="s">
        <v>155</v>
      </c>
      <c r="B22" s="131" t="s">
        <v>231</v>
      </c>
      <c r="C22" s="131" t="s">
        <v>232</v>
      </c>
      <c r="D22" s="133" t="s">
        <v>277</v>
      </c>
      <c r="E22" s="132" t="s">
        <v>40</v>
      </c>
    </row>
    <row r="23" spans="1:5" ht="15.75">
      <c r="A23" s="131" t="s">
        <v>111</v>
      </c>
      <c r="B23" s="131" t="s">
        <v>233</v>
      </c>
      <c r="C23" s="131" t="s">
        <v>234</v>
      </c>
      <c r="D23" s="133">
        <v>1977</v>
      </c>
      <c r="E23" s="132" t="s">
        <v>27</v>
      </c>
    </row>
    <row r="24" spans="1:5" ht="15.75">
      <c r="A24" s="131" t="s">
        <v>144</v>
      </c>
      <c r="B24" s="131" t="s">
        <v>235</v>
      </c>
      <c r="C24" s="131" t="s">
        <v>236</v>
      </c>
      <c r="D24" s="133" t="s">
        <v>192</v>
      </c>
      <c r="E24" s="132" t="s">
        <v>29</v>
      </c>
    </row>
    <row r="25" spans="1:5" ht="15.75">
      <c r="A25" s="131" t="s">
        <v>131</v>
      </c>
      <c r="B25" s="131" t="s">
        <v>235</v>
      </c>
      <c r="C25" s="131" t="s">
        <v>237</v>
      </c>
      <c r="D25" s="133" t="s">
        <v>278</v>
      </c>
      <c r="E25" s="132" t="s">
        <v>36</v>
      </c>
    </row>
    <row r="26" spans="1:5" ht="15.75">
      <c r="A26" s="131" t="s">
        <v>127</v>
      </c>
      <c r="B26" s="131" t="s">
        <v>238</v>
      </c>
      <c r="C26" s="131" t="s">
        <v>239</v>
      </c>
      <c r="D26" s="133" t="s">
        <v>183</v>
      </c>
      <c r="E26" s="132" t="s">
        <v>30</v>
      </c>
    </row>
    <row r="27" spans="1:5" ht="15.75">
      <c r="A27" s="131" t="s">
        <v>128</v>
      </c>
      <c r="B27" s="131" t="s">
        <v>240</v>
      </c>
      <c r="C27" s="131" t="s">
        <v>241</v>
      </c>
      <c r="D27" s="133" t="s">
        <v>190</v>
      </c>
      <c r="E27" s="132" t="s">
        <v>30</v>
      </c>
    </row>
    <row r="28" spans="1:5" ht="15.75">
      <c r="A28" s="131" t="s">
        <v>153</v>
      </c>
      <c r="B28" s="131" t="s">
        <v>240</v>
      </c>
      <c r="C28" s="131" t="s">
        <v>212</v>
      </c>
      <c r="D28" s="133" t="s">
        <v>179</v>
      </c>
      <c r="E28" s="132" t="s">
        <v>18</v>
      </c>
    </row>
    <row r="29" spans="1:5" ht="15.75">
      <c r="A29" s="131" t="s">
        <v>129</v>
      </c>
      <c r="B29" s="131" t="s">
        <v>242</v>
      </c>
      <c r="C29" s="131" t="s">
        <v>243</v>
      </c>
      <c r="D29" s="133" t="s">
        <v>279</v>
      </c>
      <c r="E29" s="132" t="s">
        <v>36</v>
      </c>
    </row>
    <row r="30" spans="1:5" ht="15.75">
      <c r="A30" s="131" t="s">
        <v>152</v>
      </c>
      <c r="B30" s="131" t="s">
        <v>244</v>
      </c>
      <c r="C30" s="131" t="s">
        <v>245</v>
      </c>
      <c r="D30" s="133" t="s">
        <v>193</v>
      </c>
      <c r="E30" s="132" t="s">
        <v>37</v>
      </c>
    </row>
    <row r="31" spans="1:5" ht="15.75">
      <c r="A31" s="131" t="s">
        <v>118</v>
      </c>
      <c r="B31" s="131" t="s">
        <v>246</v>
      </c>
      <c r="C31" s="131" t="s">
        <v>247</v>
      </c>
      <c r="D31" s="133" t="s">
        <v>169</v>
      </c>
      <c r="E31" s="132" t="s">
        <v>34</v>
      </c>
    </row>
    <row r="32" spans="1:5" ht="15.75">
      <c r="A32" s="131" t="s">
        <v>130</v>
      </c>
      <c r="B32" s="131" t="s">
        <v>246</v>
      </c>
      <c r="C32" s="131" t="s">
        <v>248</v>
      </c>
      <c r="D32" s="133" t="s">
        <v>280</v>
      </c>
      <c r="E32" s="132" t="s">
        <v>36</v>
      </c>
    </row>
    <row r="33" spans="1:5" ht="15.75">
      <c r="A33" s="131" t="s">
        <v>121</v>
      </c>
      <c r="B33" s="131" t="s">
        <v>249</v>
      </c>
      <c r="C33" s="131" t="s">
        <v>250</v>
      </c>
      <c r="D33" s="133" t="s">
        <v>182</v>
      </c>
      <c r="E33" s="132" t="s">
        <v>16</v>
      </c>
    </row>
    <row r="34" spans="1:5" ht="15.75">
      <c r="A34" s="131" t="s">
        <v>115</v>
      </c>
      <c r="B34" s="131" t="s">
        <v>251</v>
      </c>
      <c r="C34" s="131" t="s">
        <v>252</v>
      </c>
      <c r="D34" s="133" t="s">
        <v>168</v>
      </c>
      <c r="E34" s="132" t="s">
        <v>13</v>
      </c>
    </row>
    <row r="35" spans="1:5" ht="15.75">
      <c r="A35" s="131" t="s">
        <v>141</v>
      </c>
      <c r="B35" s="131" t="s">
        <v>253</v>
      </c>
      <c r="C35" s="131" t="s">
        <v>254</v>
      </c>
      <c r="D35" s="133" t="s">
        <v>176</v>
      </c>
      <c r="E35" s="132" t="s">
        <v>31</v>
      </c>
    </row>
    <row r="36" spans="1:5" ht="15.75">
      <c r="A36" s="131" t="s">
        <v>140</v>
      </c>
      <c r="B36" s="131" t="s">
        <v>255</v>
      </c>
      <c r="C36" s="131" t="s">
        <v>256</v>
      </c>
      <c r="D36" s="133" t="s">
        <v>187</v>
      </c>
      <c r="E36" s="132" t="s">
        <v>17</v>
      </c>
    </row>
    <row r="37" spans="1:5" ht="15.75">
      <c r="A37" s="131" t="s">
        <v>151</v>
      </c>
      <c r="B37" s="131" t="s">
        <v>255</v>
      </c>
      <c r="C37" s="131" t="s">
        <v>257</v>
      </c>
      <c r="D37" s="133" t="s">
        <v>282</v>
      </c>
      <c r="E37" s="132" t="s">
        <v>37</v>
      </c>
    </row>
    <row r="38" spans="1:5" ht="15.75">
      <c r="A38" s="131" t="s">
        <v>156</v>
      </c>
      <c r="B38" s="131" t="s">
        <v>258</v>
      </c>
      <c r="C38" s="131" t="s">
        <v>259</v>
      </c>
      <c r="D38" s="133" t="s">
        <v>189</v>
      </c>
      <c r="E38" s="132" t="s">
        <v>40</v>
      </c>
    </row>
    <row r="39" spans="1:5" ht="15.75">
      <c r="A39" s="131" t="s">
        <v>122</v>
      </c>
      <c r="B39" s="131" t="s">
        <v>258</v>
      </c>
      <c r="C39" s="131" t="s">
        <v>260</v>
      </c>
      <c r="D39" s="133" t="s">
        <v>189</v>
      </c>
      <c r="E39" s="132" t="s">
        <v>16</v>
      </c>
    </row>
    <row r="40" spans="1:5" ht="15.75">
      <c r="A40" s="131" t="s">
        <v>134</v>
      </c>
      <c r="B40" s="131" t="s">
        <v>261</v>
      </c>
      <c r="C40" s="131" t="s">
        <v>262</v>
      </c>
      <c r="D40" s="133" t="s">
        <v>194</v>
      </c>
      <c r="E40" s="132" t="s">
        <v>32</v>
      </c>
    </row>
    <row r="41" spans="1:5" ht="15.75">
      <c r="A41" s="131" t="s">
        <v>148</v>
      </c>
      <c r="B41" s="131" t="s">
        <v>265</v>
      </c>
      <c r="C41" s="131" t="s">
        <v>266</v>
      </c>
      <c r="D41" s="133" t="s">
        <v>195</v>
      </c>
      <c r="E41" s="132" t="s">
        <v>35</v>
      </c>
    </row>
    <row r="42" spans="1:5" ht="15.75">
      <c r="A42" s="131" t="s">
        <v>146</v>
      </c>
      <c r="B42" s="131" t="s">
        <v>263</v>
      </c>
      <c r="C42" s="131" t="s">
        <v>264</v>
      </c>
      <c r="D42" s="133" t="s">
        <v>281</v>
      </c>
      <c r="E42" s="132" t="s">
        <v>14</v>
      </c>
    </row>
    <row r="43" spans="1:5" ht="15.75">
      <c r="A43" s="131" t="s">
        <v>119</v>
      </c>
      <c r="B43" s="131" t="s">
        <v>267</v>
      </c>
      <c r="C43" s="131" t="s">
        <v>268</v>
      </c>
      <c r="D43" s="133" t="s">
        <v>181</v>
      </c>
      <c r="E43" s="132" t="s">
        <v>34</v>
      </c>
    </row>
    <row r="44" spans="1:5" ht="15.75">
      <c r="A44" s="131" t="s">
        <v>113</v>
      </c>
      <c r="B44" s="131" t="s">
        <v>269</v>
      </c>
      <c r="C44" s="131" t="s">
        <v>203</v>
      </c>
      <c r="D44" s="133" t="s">
        <v>167</v>
      </c>
      <c r="E44" s="132" t="s">
        <v>53</v>
      </c>
    </row>
  </sheetData>
  <sortState ref="A3:C45">
    <sortCondition sortBy="value" ref="A3:A45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Y23"/>
  <sheetViews>
    <sheetView showGridLines="0" workbookViewId="0" topLeftCell="A1">
      <selection pane="topLeft" activeCell="F14" sqref="F14:F20"/>
    </sheetView>
  </sheetViews>
  <sheetFormatPr defaultColWidth="14.424285714285714" defaultRowHeight="15" customHeight="1"/>
  <cols>
    <col min="1" max="1" width="27.857142857142858" style="58" bestFit="1" customWidth="1"/>
    <col min="2" max="2" width="7.857142857142857" style="58" bestFit="1" customWidth="1"/>
    <col min="3" max="3" width="11" style="58" bestFit="1" customWidth="1"/>
    <col min="4" max="9" width="10.714285714285714" style="58" customWidth="1"/>
    <col min="10" max="25" width="8.714285714285714" style="58" customWidth="1"/>
    <col min="26" max="16384" width="14.428571428571429" style="58"/>
  </cols>
  <sheetData>
    <row r="1" spans="1:25" ht="15" customHeight="1">
      <c r="A1" s="1"/>
      <c r="B1" s="1"/>
      <c r="C1" s="1"/>
      <c r="D1" s="1"/>
      <c r="E1" s="57" t="s">
        <v>0</v>
      </c>
      <c r="F1" s="1"/>
      <c r="G1" s="1"/>
      <c r="H1" s="1"/>
      <c r="I1" s="1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</row>
    <row r="2" spans="1:25" ht="15" customHeight="1">
      <c r="A2" s="1"/>
      <c r="B2" s="1"/>
      <c r="C2" s="1"/>
      <c r="D2" s="1"/>
      <c r="E2" s="114" t="s">
        <v>1</v>
      </c>
      <c r="G2" s="1"/>
      <c r="H2" s="1"/>
      <c r="I2" s="1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</row>
    <row r="3" spans="1:25" ht="15" customHeight="1">
      <c r="A3" s="1"/>
      <c r="B3" s="1"/>
      <c r="C3" s="1"/>
      <c r="D3" s="1"/>
      <c r="E3" s="57" t="s">
        <v>2</v>
      </c>
      <c r="F3" s="1"/>
      <c r="G3" s="1"/>
      <c r="H3" s="1"/>
      <c r="I3" s="1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</row>
    <row r="4" spans="1:25" ht="15" customHeight="1">
      <c r="A4" s="1"/>
      <c r="B4" s="1"/>
      <c r="C4" s="1"/>
      <c r="D4" s="1"/>
      <c r="E4" s="57" t="s">
        <v>26</v>
      </c>
      <c r="G4" s="1"/>
      <c r="H4" s="1"/>
      <c r="I4" s="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</row>
    <row r="5" spans="1:25" ht="15" customHeight="1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</row>
    <row r="6" spans="1:9" ht="51" customHeight="1">
      <c r="A6" s="2" t="s">
        <v>4</v>
      </c>
      <c r="B6" s="3" t="s">
        <v>5</v>
      </c>
      <c r="C6" s="22" t="s">
        <v>6</v>
      </c>
      <c r="D6" s="4" t="s">
        <v>7</v>
      </c>
      <c r="E6" s="5" t="s">
        <v>8</v>
      </c>
      <c r="F6" s="5" t="s">
        <v>9</v>
      </c>
      <c r="G6" s="5" t="s">
        <v>10</v>
      </c>
      <c r="H6" s="6" t="s">
        <v>11</v>
      </c>
      <c r="I6" s="6" t="s">
        <v>12</v>
      </c>
    </row>
    <row r="7" spans="1:9" ht="14.25" customHeight="1">
      <c r="A7" s="8" t="s">
        <v>27</v>
      </c>
      <c r="B7" s="9">
        <v>27</v>
      </c>
      <c r="C7" s="10">
        <v>1</v>
      </c>
      <c r="D7" s="11">
        <v>53</v>
      </c>
      <c r="E7" s="12">
        <v>6.25</v>
      </c>
      <c r="F7" s="12">
        <v>2.9952830188679247</v>
      </c>
      <c r="G7" s="13">
        <v>158.75</v>
      </c>
      <c r="H7" s="14">
        <v>0</v>
      </c>
      <c r="I7" s="15">
        <v>0</v>
      </c>
    </row>
    <row r="8" spans="1:9" ht="14.25" customHeight="1">
      <c r="A8" s="8" t="s">
        <v>28</v>
      </c>
      <c r="B8" s="9">
        <v>26</v>
      </c>
      <c r="C8" s="10">
        <v>2</v>
      </c>
      <c r="D8" s="11">
        <v>40</v>
      </c>
      <c r="E8" s="12">
        <v>10.35</v>
      </c>
      <c r="F8" s="12">
        <v>3.599375</v>
      </c>
      <c r="G8" s="13">
        <v>143.975</v>
      </c>
      <c r="H8" s="14">
        <v>-14.775000000000006</v>
      </c>
      <c r="I8" s="15">
        <v>-14.775000000000006</v>
      </c>
    </row>
    <row r="9" spans="1:9" ht="14.25" customHeight="1">
      <c r="A9" s="8" t="s">
        <v>29</v>
      </c>
      <c r="B9" s="9">
        <v>23</v>
      </c>
      <c r="C9" s="10">
        <v>3</v>
      </c>
      <c r="D9" s="11">
        <v>28</v>
      </c>
      <c r="E9" s="12">
        <v>5.75</v>
      </c>
      <c r="F9" s="12">
        <v>3.488392857142857</v>
      </c>
      <c r="G9" s="13">
        <v>97.675</v>
      </c>
      <c r="H9" s="14">
        <v>-61.075</v>
      </c>
      <c r="I9" s="15">
        <v>-46.30</v>
      </c>
    </row>
    <row r="10" spans="1:9" ht="14.25" customHeight="1">
      <c r="A10" s="8" t="s">
        <v>30</v>
      </c>
      <c r="B10" s="9">
        <v>24</v>
      </c>
      <c r="C10" s="10">
        <v>4</v>
      </c>
      <c r="D10" s="11">
        <v>26</v>
      </c>
      <c r="E10" s="12">
        <v>5.725</v>
      </c>
      <c r="F10" s="12">
        <v>3.456730769230769</v>
      </c>
      <c r="G10" s="13">
        <v>89.875</v>
      </c>
      <c r="H10" s="14">
        <v>-68.875</v>
      </c>
      <c r="I10" s="15">
        <v>-7.799999999999997</v>
      </c>
    </row>
    <row r="11" spans="1:9" ht="14.25" customHeight="1">
      <c r="A11" s="8" t="s">
        <v>31</v>
      </c>
      <c r="B11" s="9">
        <v>25</v>
      </c>
      <c r="C11" s="10">
        <v>5</v>
      </c>
      <c r="D11" s="11">
        <v>18</v>
      </c>
      <c r="E11" s="12">
        <v>9.725</v>
      </c>
      <c r="F11" s="12">
        <v>4.113888888888888</v>
      </c>
      <c r="G11" s="13">
        <v>74.04999999999998</v>
      </c>
      <c r="H11" s="14">
        <v>-84.70000000000002</v>
      </c>
      <c r="I11" s="15">
        <v>-15.825000000000017</v>
      </c>
    </row>
    <row r="12" spans="1:9" ht="14.25" customHeight="1">
      <c r="A12" s="113" t="s">
        <v>32</v>
      </c>
      <c r="B12" s="9">
        <v>28</v>
      </c>
      <c r="C12" s="10">
        <v>6</v>
      </c>
      <c r="D12" s="11">
        <v>21</v>
      </c>
      <c r="E12" s="12">
        <v>6.575</v>
      </c>
      <c r="F12" s="12">
        <v>3.3416666666666672</v>
      </c>
      <c r="G12" s="13">
        <v>70.17500000000001</v>
      </c>
      <c r="H12" s="14">
        <v>-88.57499999999999</v>
      </c>
      <c r="I12" s="15">
        <v>-3.8749999999999716</v>
      </c>
    </row>
    <row r="13" spans="1:9" ht="14.25" customHeight="1">
      <c r="A13" s="8"/>
      <c r="B13" s="9"/>
      <c r="C13" s="10"/>
      <c r="D13" s="11"/>
      <c r="E13" s="12"/>
      <c r="F13" s="12"/>
      <c r="G13" s="13"/>
      <c r="H13" s="14"/>
      <c r="I13" s="15"/>
    </row>
    <row r="14" spans="5:6" ht="14.25" customHeight="1">
      <c r="E14" s="58" t="s">
        <v>19</v>
      </c>
      <c r="F14" s="117">
        <v>186</v>
      </c>
    </row>
    <row r="15" spans="5:7" ht="14.25" customHeight="1">
      <c r="E15" s="16" t="s">
        <v>20</v>
      </c>
      <c r="F15" s="17">
        <v>634.50</v>
      </c>
      <c r="G15" s="58" t="s">
        <v>21</v>
      </c>
    </row>
    <row r="16" spans="5:7" ht="14.25" customHeight="1">
      <c r="E16" s="16" t="s">
        <v>22</v>
      </c>
      <c r="F16" s="18">
        <v>10.35</v>
      </c>
      <c r="G16" s="19" t="s">
        <v>28</v>
      </c>
    </row>
    <row r="17" spans="5:7" ht="14.25" customHeight="1">
      <c r="E17" s="16"/>
      <c r="F17" s="18"/>
      <c r="G17" s="20"/>
    </row>
    <row r="18" spans="5:7" ht="14.25" customHeight="1">
      <c r="E18" s="16" t="s">
        <v>23</v>
      </c>
      <c r="F18" s="18">
        <v>1586.3249999999998</v>
      </c>
      <c r="G18" s="58" t="s">
        <v>21</v>
      </c>
    </row>
    <row r="19" spans="5:8" ht="14.25" customHeight="1">
      <c r="E19" s="16" t="s">
        <v>24</v>
      </c>
      <c r="F19" s="21">
        <v>12.50</v>
      </c>
      <c r="G19" s="19" t="s">
        <v>21</v>
      </c>
      <c r="H19" s="58" t="s">
        <v>15</v>
      </c>
    </row>
    <row r="20" spans="5:8" ht="14.25" customHeight="1">
      <c r="E20" s="16" t="s">
        <v>25</v>
      </c>
      <c r="F20" s="21">
        <v>458</v>
      </c>
      <c r="G20" s="19"/>
      <c r="H20" s="19"/>
    </row>
    <row r="21" spans="5:6" ht="14.25" customHeight="1">
      <c r="E21" s="16"/>
      <c r="F21" s="17"/>
    </row>
    <row r="22" ht="14.25" customHeight="1"/>
    <row r="23" spans="1:3" ht="14.25" customHeight="1">
      <c r="A23" s="83" t="s">
        <v>158</v>
      </c>
      <c r="C23" s="83" t="s">
        <v>159</v>
      </c>
    </row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</sheetData>
  <autoFilter ref="A6:I12">
    <sortState ref="A6:I12">
      <sortCondition sortBy="value" ref="C6:C12"/>
    </sortState>
  </autoFilter>
  <pageMargins left="0.11811023622047245" right="0.11811023622047245" top="0.7480314960629921" bottom="0.7480314960629921" header="0" footer="0"/>
  <pageSetup orientation="portrait" paperSize="9" r:id="rId3"/>
  <drawing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Y22"/>
  <sheetViews>
    <sheetView showGridLines="0" workbookViewId="0" topLeftCell="A1">
      <selection pane="topLeft" activeCell="H24" sqref="H24"/>
    </sheetView>
  </sheetViews>
  <sheetFormatPr defaultColWidth="14.424285714285714" defaultRowHeight="15" customHeight="1"/>
  <cols>
    <col min="1" max="1" width="27.857142857142858" bestFit="1" customWidth="1"/>
    <col min="2" max="2" width="7.857142857142857" bestFit="1" customWidth="1"/>
    <col min="3" max="3" width="11" bestFit="1" customWidth="1"/>
    <col min="4" max="9" width="10.714285714285714" customWidth="1"/>
    <col min="10" max="25" width="8.714285714285714" customWidth="1"/>
  </cols>
  <sheetData>
    <row r="1" spans="1:25" ht="15" customHeight="1">
      <c r="A1" s="1"/>
      <c r="B1" s="1"/>
      <c r="C1" s="1"/>
      <c r="D1" s="1"/>
      <c r="E1" s="57" t="s">
        <v>0</v>
      </c>
      <c r="F1" s="1"/>
      <c r="G1" s="1"/>
      <c r="H1" s="1"/>
      <c r="I1" s="1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</row>
    <row r="2" spans="1:25" ht="15" customHeight="1">
      <c r="A2" s="1"/>
      <c r="B2" s="1"/>
      <c r="C2" s="1"/>
      <c r="D2" s="1"/>
      <c r="E2" s="57" t="s">
        <v>1</v>
      </c>
      <c r="G2" s="1"/>
      <c r="H2" s="1"/>
      <c r="I2" s="1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</row>
    <row r="3" spans="1:25" ht="15" customHeight="1">
      <c r="A3" s="1"/>
      <c r="B3" s="1"/>
      <c r="C3" s="1"/>
      <c r="D3" s="1"/>
      <c r="E3" s="57" t="s">
        <v>2</v>
      </c>
      <c r="F3" s="1"/>
      <c r="G3" s="1"/>
      <c r="H3" s="1"/>
      <c r="I3" s="1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</row>
    <row r="4" spans="1:25" ht="15" customHeight="1">
      <c r="A4" s="1"/>
      <c r="B4" s="1"/>
      <c r="C4" s="1"/>
      <c r="D4" s="1"/>
      <c r="E4" s="57" t="s">
        <v>33</v>
      </c>
      <c r="G4" s="1"/>
      <c r="H4" s="1"/>
      <c r="I4" s="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</row>
    <row r="5" spans="1:25" ht="15" customHeight="1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</row>
    <row r="6" spans="1:9" ht="51" customHeight="1">
      <c r="A6" s="2" t="s">
        <v>4</v>
      </c>
      <c r="B6" s="3" t="s">
        <v>5</v>
      </c>
      <c r="C6" s="22" t="s">
        <v>6</v>
      </c>
      <c r="D6" s="4" t="s">
        <v>7</v>
      </c>
      <c r="E6" s="5" t="s">
        <v>8</v>
      </c>
      <c r="F6" s="5" t="s">
        <v>9</v>
      </c>
      <c r="G6" s="5" t="s">
        <v>10</v>
      </c>
      <c r="H6" s="6" t="s">
        <v>11</v>
      </c>
      <c r="I6" s="6" t="s">
        <v>12</v>
      </c>
    </row>
    <row r="7" spans="1:9" ht="14.25" customHeight="1">
      <c r="A7" s="8" t="s">
        <v>34</v>
      </c>
      <c r="B7" s="9">
        <v>14</v>
      </c>
      <c r="C7" s="10">
        <v>1</v>
      </c>
      <c r="D7" s="11">
        <v>42</v>
      </c>
      <c r="E7" s="12">
        <v>8.525</v>
      </c>
      <c r="F7" s="12">
        <v>3.3766666666666665</v>
      </c>
      <c r="G7" s="13">
        <v>141.82</v>
      </c>
      <c r="H7" s="14">
        <v>0</v>
      </c>
      <c r="I7" s="15">
        <v>0</v>
      </c>
    </row>
    <row r="8" spans="1:9" ht="14.25" customHeight="1">
      <c r="A8" s="8" t="s">
        <v>35</v>
      </c>
      <c r="B8" s="9">
        <v>20</v>
      </c>
      <c r="C8" s="10">
        <v>2</v>
      </c>
      <c r="D8" s="11">
        <v>35</v>
      </c>
      <c r="E8" s="12">
        <v>6.80</v>
      </c>
      <c r="F8" s="12">
        <v>3.432142857142857</v>
      </c>
      <c r="G8" s="13">
        <v>120.125</v>
      </c>
      <c r="H8" s="14">
        <v>-21.694999999999993</v>
      </c>
      <c r="I8" s="15">
        <v>-21.694999999999993</v>
      </c>
    </row>
    <row r="9" spans="1:9" ht="14.25" customHeight="1">
      <c r="A9" s="8" t="s">
        <v>36</v>
      </c>
      <c r="B9" s="9">
        <v>17</v>
      </c>
      <c r="C9" s="10">
        <v>3</v>
      </c>
      <c r="D9" s="11">
        <v>27</v>
      </c>
      <c r="E9" s="12">
        <v>5.15</v>
      </c>
      <c r="F9" s="12">
        <v>3.1009259259259263</v>
      </c>
      <c r="G9" s="13">
        <v>83.725</v>
      </c>
      <c r="H9" s="14">
        <v>-58.094999999999985</v>
      </c>
      <c r="I9" s="15">
        <v>-36.39999999999999</v>
      </c>
    </row>
    <row r="10" spans="1:9" ht="14.25" customHeight="1">
      <c r="A10" s="8" t="s">
        <v>37</v>
      </c>
      <c r="B10" s="9">
        <v>18</v>
      </c>
      <c r="C10" s="10">
        <v>4</v>
      </c>
      <c r="D10" s="11">
        <v>15</v>
      </c>
      <c r="E10" s="12">
        <v>4.675</v>
      </c>
      <c r="F10" s="12">
        <v>2.64</v>
      </c>
      <c r="G10" s="13">
        <v>39.60</v>
      </c>
      <c r="H10" s="14">
        <v>-102.22</v>
      </c>
      <c r="I10" s="15">
        <v>-44.125000000000014</v>
      </c>
    </row>
    <row r="11" spans="1:9" ht="14.25" customHeight="1">
      <c r="A11" s="8" t="s">
        <v>38</v>
      </c>
      <c r="B11" s="9">
        <v>19</v>
      </c>
      <c r="C11" s="10">
        <v>5</v>
      </c>
      <c r="D11" s="11">
        <v>11</v>
      </c>
      <c r="E11" s="12">
        <v>5.125</v>
      </c>
      <c r="F11" s="12">
        <v>3.5181818181818176</v>
      </c>
      <c r="G11" s="13">
        <v>38.699999999999996</v>
      </c>
      <c r="H11" s="14">
        <v>-103.12</v>
      </c>
      <c r="I11" s="15">
        <v>-0.9000000000000057</v>
      </c>
    </row>
    <row r="12" spans="1:9" ht="14.25" customHeight="1">
      <c r="A12" s="23" t="s">
        <v>39</v>
      </c>
      <c r="B12" s="9">
        <v>16</v>
      </c>
      <c r="C12" s="10">
        <v>6</v>
      </c>
      <c r="D12" s="11">
        <v>11</v>
      </c>
      <c r="E12" s="12">
        <v>4.675</v>
      </c>
      <c r="F12" s="12">
        <v>3.215909090909091</v>
      </c>
      <c r="G12" s="13">
        <v>35.375</v>
      </c>
      <c r="H12" s="14">
        <v>-106.445</v>
      </c>
      <c r="I12" s="15">
        <v>-3.3249999999999886</v>
      </c>
    </row>
    <row r="13" spans="1:9" ht="14.25" customHeight="1">
      <c r="A13" s="8" t="s">
        <v>40</v>
      </c>
      <c r="B13" s="9">
        <v>15</v>
      </c>
      <c r="C13" s="10">
        <v>7</v>
      </c>
      <c r="D13" s="11">
        <v>2</v>
      </c>
      <c r="E13" s="12">
        <v>3.575</v>
      </c>
      <c r="F13" s="12">
        <v>3.2875</v>
      </c>
      <c r="G13" s="13">
        <v>6.575</v>
      </c>
      <c r="H13" s="14">
        <v>-135.245</v>
      </c>
      <c r="I13" s="15">
        <v>-28.80000000000001</v>
      </c>
    </row>
    <row r="14" spans="5:6" ht="14.25" customHeight="1">
      <c r="E14" s="16" t="s">
        <v>19</v>
      </c>
      <c r="F14" s="17">
        <v>143</v>
      </c>
    </row>
    <row r="15" spans="5:7" ht="14.25" customHeight="1">
      <c r="E15" s="16" t="s">
        <v>20</v>
      </c>
      <c r="F15" s="18">
        <v>465.92</v>
      </c>
      <c r="G15" s="19" t="s">
        <v>21</v>
      </c>
    </row>
    <row r="16" spans="5:7" ht="14.25" customHeight="1">
      <c r="E16" s="16" t="s">
        <v>22</v>
      </c>
      <c r="F16" s="18">
        <v>8.525</v>
      </c>
      <c r="G16" s="20" t="s">
        <v>34</v>
      </c>
    </row>
    <row r="17" spans="5:6" ht="14.25" customHeight="1">
      <c r="E17" s="16"/>
      <c r="F17" s="18"/>
    </row>
    <row r="18" spans="5:7" ht="14.25" customHeight="1">
      <c r="E18" s="16" t="s">
        <v>23</v>
      </c>
      <c r="F18" s="21">
        <v>1586.3249999999998</v>
      </c>
      <c r="G18" s="19" t="s">
        <v>21</v>
      </c>
    </row>
    <row r="19" spans="5:8" ht="14.25" customHeight="1">
      <c r="E19" s="16" t="s">
        <v>24</v>
      </c>
      <c r="F19" s="21">
        <v>12.50</v>
      </c>
      <c r="G19" s="19" t="s">
        <v>21</v>
      </c>
      <c r="H19" s="19" t="s">
        <v>15</v>
      </c>
    </row>
    <row r="20" spans="5:6" ht="14.25" customHeight="1">
      <c r="E20" s="16" t="s">
        <v>25</v>
      </c>
      <c r="F20" s="17">
        <v>470</v>
      </c>
    </row>
    <row r="21" ht="14.25" customHeight="1"/>
    <row r="22" spans="1:3" s="58" customFormat="1" ht="14.25" customHeight="1">
      <c r="A22" s="83" t="s">
        <v>158</v>
      </c>
      <c r="C22" s="83" t="s">
        <v>159</v>
      </c>
    </row>
    <row r="23" s="58" customFormat="1" ht="14.25" customHeight="1"/>
    <row r="24" s="58" customFormat="1" ht="14.25" customHeight="1"/>
    <row r="25" s="58" customFormat="1" ht="14.25" customHeight="1"/>
    <row r="26" s="58" customFormat="1" ht="14.25" customHeight="1"/>
    <row r="27" s="58" customFormat="1" ht="14.25" customHeight="1"/>
    <row r="28" s="58" customFormat="1" ht="14.25" customHeight="1"/>
    <row r="29" s="58" customFormat="1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</sheetData>
  <autoFilter ref="A6:I13">
    <sortState ref="A6:I13">
      <sortCondition sortBy="value" ref="C6:C13"/>
    </sortState>
  </autoFilter>
  <printOptions horizontalCentered="1" verticalCentered="1"/>
  <pageMargins left="0.11811023622047245" right="0.11811023622047245" top="0.7480314960629921" bottom="0.7480314960629921" header="0" footer="0"/>
  <pageSetup orientation="landscape" paperSize="9" scale="11" r:id="rId3"/>
  <drawing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A1:BI21"/>
  <sheetViews>
    <sheetView workbookViewId="0" topLeftCell="A1"/>
  </sheetViews>
  <sheetFormatPr defaultColWidth="14.424285714285714" defaultRowHeight="15" customHeight="1"/>
  <cols>
    <col min="1" max="1" width="8.714285714285714" customWidth="1"/>
    <col min="2" max="2" width="12.285714285714286" customWidth="1"/>
    <col min="3" max="61" width="8.714285714285714" customWidth="1"/>
  </cols>
  <sheetData>
    <row r="1" spans="1:61" ht="14.25" customHeight="1">
      <c r="A1" s="46" t="s">
        <v>4</v>
      </c>
      <c r="B1" s="46" t="s">
        <v>10</v>
      </c>
      <c r="C1" s="46" t="s">
        <v>46</v>
      </c>
      <c r="D1" s="46" t="s">
        <v>49</v>
      </c>
      <c r="E1" s="46" t="s">
        <v>54</v>
      </c>
      <c r="F1" s="46" t="s">
        <v>55</v>
      </c>
      <c r="G1" s="46" t="s">
        <v>56</v>
      </c>
      <c r="H1" s="46" t="s">
        <v>57</v>
      </c>
      <c r="I1" s="46" t="s">
        <v>58</v>
      </c>
      <c r="J1" s="46" t="s">
        <v>59</v>
      </c>
      <c r="K1" s="46" t="s">
        <v>60</v>
      </c>
      <c r="L1" s="46" t="s">
        <v>61</v>
      </c>
      <c r="M1" s="46" t="s">
        <v>62</v>
      </c>
      <c r="N1" s="46" t="s">
        <v>63</v>
      </c>
      <c r="O1" s="46" t="s">
        <v>64</v>
      </c>
      <c r="P1" s="46" t="s">
        <v>65</v>
      </c>
      <c r="Q1" s="47" t="s">
        <v>66</v>
      </c>
      <c r="R1" s="47" t="s">
        <v>67</v>
      </c>
      <c r="S1" s="47" t="s">
        <v>68</v>
      </c>
      <c r="T1" s="47" t="s">
        <v>69</v>
      </c>
      <c r="U1" s="47" t="s">
        <v>70</v>
      </c>
      <c r="V1" s="47" t="s">
        <v>71</v>
      </c>
      <c r="W1" s="47" t="s">
        <v>72</v>
      </c>
      <c r="X1" s="46" t="s">
        <v>73</v>
      </c>
      <c r="Y1" s="46" t="s">
        <v>74</v>
      </c>
      <c r="Z1" s="46" t="s">
        <v>75</v>
      </c>
      <c r="AA1" s="46" t="s">
        <v>76</v>
      </c>
      <c r="AB1" s="46" t="s">
        <v>77</v>
      </c>
      <c r="AC1" s="46" t="s">
        <v>78</v>
      </c>
      <c r="AD1" s="46" t="s">
        <v>79</v>
      </c>
      <c r="AE1" s="46" t="s">
        <v>80</v>
      </c>
      <c r="AF1" s="46" t="s">
        <v>81</v>
      </c>
      <c r="AG1" s="46" t="s">
        <v>82</v>
      </c>
      <c r="AH1" s="46" t="s">
        <v>83</v>
      </c>
      <c r="AI1" s="46" t="s">
        <v>84</v>
      </c>
      <c r="AJ1" s="46" t="s">
        <v>85</v>
      </c>
      <c r="AK1" s="46" t="s">
        <v>86</v>
      </c>
      <c r="AL1" s="46" t="s">
        <v>87</v>
      </c>
      <c r="AM1" s="46" t="s">
        <v>88</v>
      </c>
      <c r="AN1" s="46" t="s">
        <v>89</v>
      </c>
      <c r="AO1" s="46" t="s">
        <v>90</v>
      </c>
      <c r="AP1" s="46" t="s">
        <v>91</v>
      </c>
      <c r="AQ1" s="46" t="s">
        <v>92</v>
      </c>
      <c r="AR1" s="46" t="s">
        <v>93</v>
      </c>
      <c r="AS1" s="46" t="s">
        <v>94</v>
      </c>
      <c r="AT1" s="46" t="s">
        <v>95</v>
      </c>
      <c r="AU1" s="46" t="s">
        <v>96</v>
      </c>
      <c r="AV1" s="46" t="s">
        <v>97</v>
      </c>
      <c r="AW1" s="46" t="s">
        <v>98</v>
      </c>
      <c r="AX1" s="46" t="s">
        <v>99</v>
      </c>
      <c r="AY1" s="46" t="s">
        <v>100</v>
      </c>
      <c r="AZ1" s="46" t="s">
        <v>101</v>
      </c>
      <c r="BA1" s="46" t="s">
        <v>102</v>
      </c>
      <c r="BB1" s="46" t="s">
        <v>103</v>
      </c>
      <c r="BC1" s="46" t="s">
        <v>104</v>
      </c>
      <c r="BD1" s="46" t="s">
        <v>105</v>
      </c>
      <c r="BE1" s="46" t="s">
        <v>106</v>
      </c>
      <c r="BF1" s="46" t="s">
        <v>107</v>
      </c>
      <c r="BG1" s="46" t="s">
        <v>108</v>
      </c>
      <c r="BH1" s="46" t="s">
        <v>109</v>
      </c>
      <c r="BI1" s="46" t="s">
        <v>110</v>
      </c>
    </row>
    <row r="2" spans="1:61" ht="14.25" customHeight="1">
      <c r="A2" s="48" t="s">
        <v>27</v>
      </c>
      <c r="B2" s="49" t="str">
        <f>VLOOKUP($A2,'Gada kopsavilkums'!$A$9:$F$27,3,FALSE)</f>
        <v>DENISS VIŠŅAKOVS</v>
      </c>
      <c r="C2" s="50">
        <f>VLOOKUP($A2,'Gada kopsavilkums'!$A$9:$Y$27,21,FALSE)</f>
        <v>158.75</v>
      </c>
      <c r="D2" s="46">
        <f t="shared" si="0" ref="D2:D20">IF(B2&gt;0,SUM(AQ2:BI2),100)</f>
        <v>0</v>
      </c>
      <c r="E2" s="51">
        <f t="shared" si="1" ref="E2:E20">IF($C2=1,$B2,0)</f>
        <v>0</v>
      </c>
      <c r="F2" s="51">
        <f t="shared" si="2" ref="F2:F20">IF($C2=2,$B2,0)</f>
        <v>0</v>
      </c>
      <c r="G2" s="51">
        <f t="shared" si="3" ref="G2:G20">IF($C2=3,$B2,0)</f>
        <v>0</v>
      </c>
      <c r="H2" s="51">
        <f t="shared" si="4" ref="H2:H20">IF($C2=4,$B2,0)</f>
        <v>0</v>
      </c>
      <c r="I2" s="51">
        <f t="shared" si="5" ref="I2:I20">IF($C2=5,$B2,0)</f>
        <v>0</v>
      </c>
      <c r="J2" s="51">
        <f t="shared" si="6" ref="J2:J20">IF($C2=6,$B2,0)</f>
        <v>0</v>
      </c>
      <c r="K2" s="51">
        <f t="shared" si="7" ref="K2:K20">IF($C2=7,$B2,0)</f>
        <v>0</v>
      </c>
      <c r="L2" s="51">
        <f t="shared" si="8" ref="L2:L20">IF($C2=8,$B2,0)</f>
        <v>0</v>
      </c>
      <c r="M2" s="51">
        <f t="shared" si="9" ref="M2:M20">IF($C2=9,$B2,0)</f>
        <v>0</v>
      </c>
      <c r="N2" s="51">
        <f t="shared" si="10" ref="N2:N20">IF($C2=10,$B2,0)</f>
        <v>0</v>
      </c>
      <c r="O2" s="51">
        <f t="shared" si="11" ref="O2:O20">IF($C2=11,$B2,0)</f>
        <v>0</v>
      </c>
      <c r="P2" s="51">
        <f t="shared" si="12" ref="P2:P20">IF($C2=12,$B2,0)</f>
        <v>0</v>
      </c>
      <c r="Q2" s="51">
        <f t="shared" si="13" ref="Q2:Q20">IF($C2=13,$B2,0)</f>
        <v>0</v>
      </c>
      <c r="R2" s="51">
        <f t="shared" si="14" ref="R2:R20">IF($C2=14,$B2,0)</f>
        <v>0</v>
      </c>
      <c r="S2" s="51">
        <f t="shared" si="15" ref="S2:S20">IF($C2=15,$B2,0)</f>
        <v>0</v>
      </c>
      <c r="T2" s="51">
        <f t="shared" si="16" ref="T2:T20">IF($C2=16,$B2,0)</f>
        <v>0</v>
      </c>
      <c r="U2" s="51">
        <f t="shared" si="17" ref="U2:U20">IF($C2=17,$B2,0)</f>
        <v>0</v>
      </c>
      <c r="V2" s="51">
        <f t="shared" si="18" ref="V2:V20">IF($C2=18,$B2,0)</f>
        <v>0</v>
      </c>
      <c r="W2" s="51">
        <f t="shared" si="19" ref="W2:W20">IF($C2=19,$B2,0)</f>
        <v>0</v>
      </c>
      <c r="X2" s="46">
        <f t="shared" si="20" ref="X2:AP2">IF(E2&gt;0,RANK(E2,E$2:E$20),0)</f>
        <v>0</v>
      </c>
      <c r="Y2" s="46">
        <f t="shared" si="20"/>
        <v>0</v>
      </c>
      <c r="Z2" s="46">
        <f t="shared" si="20"/>
        <v>0</v>
      </c>
      <c r="AA2" s="46">
        <f t="shared" si="20"/>
        <v>0</v>
      </c>
      <c r="AB2" s="46">
        <f t="shared" si="20"/>
        <v>0</v>
      </c>
      <c r="AC2" s="46">
        <f t="shared" si="20"/>
        <v>0</v>
      </c>
      <c r="AD2" s="46">
        <f t="shared" si="20"/>
        <v>0</v>
      </c>
      <c r="AE2" s="46">
        <f t="shared" si="20"/>
        <v>0</v>
      </c>
      <c r="AF2" s="46">
        <f t="shared" si="20"/>
        <v>0</v>
      </c>
      <c r="AG2" s="46">
        <f t="shared" si="20"/>
        <v>0</v>
      </c>
      <c r="AH2" s="46">
        <f t="shared" si="20"/>
        <v>0</v>
      </c>
      <c r="AI2" s="46">
        <f t="shared" si="20"/>
        <v>0</v>
      </c>
      <c r="AJ2" s="46">
        <f t="shared" si="20"/>
        <v>0</v>
      </c>
      <c r="AK2" s="46">
        <f t="shared" si="20"/>
        <v>0</v>
      </c>
      <c r="AL2" s="46">
        <f t="shared" si="20"/>
        <v>0</v>
      </c>
      <c r="AM2" s="46">
        <f t="shared" si="20"/>
        <v>0</v>
      </c>
      <c r="AN2" s="46">
        <f t="shared" si="20"/>
        <v>0</v>
      </c>
      <c r="AO2" s="46">
        <f t="shared" si="20"/>
        <v>0</v>
      </c>
      <c r="AP2" s="46">
        <f t="shared" si="20"/>
        <v>0</v>
      </c>
      <c r="AQ2" s="52">
        <f t="shared" si="21" ref="AQ2:AQ20">IF(X2&gt;0,1+X2,0)</f>
        <v>0</v>
      </c>
      <c r="AR2" s="52">
        <f t="shared" si="22" ref="AR2:AR20">IF(Y2&gt;0,4+Y2,0)</f>
        <v>0</v>
      </c>
      <c r="AS2" s="52">
        <f t="shared" si="23" ref="AS2:AS20">IF(Z2&gt;0,7+Z2,0)</f>
        <v>0</v>
      </c>
      <c r="AT2" s="52">
        <f t="shared" si="24" ref="AT2:AT20">IF(AA2&gt;0,10+AA2,0)</f>
        <v>0</v>
      </c>
      <c r="AU2" s="52">
        <f t="shared" si="25" ref="AU2:AU20">IF(AB2&gt;0,14+AB2,0)</f>
        <v>0</v>
      </c>
      <c r="AV2" s="52">
        <f t="shared" si="26" ref="AV2:AV20">IF(AC2&gt;0,16+AC2,0)</f>
        <v>0</v>
      </c>
      <c r="AW2" s="52">
        <f t="shared" si="27" ref="AW2:AW20">IF(AD2&gt;0,19+AD2,0)</f>
        <v>0</v>
      </c>
      <c r="AX2" s="52">
        <f t="shared" si="28" ref="AX2:AX20">IF(AE2&gt;0,20+AE2,0)</f>
        <v>0</v>
      </c>
      <c r="AY2" s="52">
        <f t="shared" si="29" ref="AY2:AY20">IF(AF2&gt;0,22+AF2,0)</f>
        <v>0</v>
      </c>
      <c r="AZ2" s="52">
        <f t="shared" si="30" ref="AZ2:AZ20">IF(AG2&gt;0,23+AG2,0)</f>
        <v>0</v>
      </c>
      <c r="BA2" s="52">
        <f t="shared" si="31" ref="BA2:BA20">IF(AH2&gt;0,25+AH2,0)</f>
        <v>0</v>
      </c>
      <c r="BB2" s="52">
        <f t="shared" si="32" ref="BB2:BB20">IF(AI2&gt;0,28+AI2,0)</f>
        <v>0</v>
      </c>
      <c r="BC2" s="52">
        <f t="shared" si="33" ref="BC2:BC20">IF(AJ2&gt;0,31+AJ2,0)</f>
        <v>0</v>
      </c>
      <c r="BD2" s="52">
        <f t="shared" si="34" ref="BD2:BD20">IF(AK2&gt;0,34+AK2,0)</f>
        <v>0</v>
      </c>
      <c r="BE2" s="52">
        <f t="shared" si="35" ref="BE2:BE20">IF(AL2&gt;0,37+AL2,0)</f>
        <v>0</v>
      </c>
      <c r="BF2" s="52">
        <f t="shared" si="36" ref="BF2:BF20">IF(AM2&gt;0,41+AM2,0)</f>
        <v>0</v>
      </c>
      <c r="BG2" s="52">
        <f t="shared" si="37" ref="BG2:BG20">IF(AN2&gt;0,44+AN2,0)</f>
        <v>0</v>
      </c>
      <c r="BH2" s="52">
        <f t="shared" si="38" ref="BH2:BH20">IF(AO2&gt;0,47+AO2,0)</f>
        <v>0</v>
      </c>
      <c r="BI2" s="52">
        <f t="shared" si="39" ref="BI2:BI20">IF(AP2&gt;0,51+AP2,0)</f>
        <v>0</v>
      </c>
    </row>
    <row r="3" spans="1:61" ht="14.25" customHeight="1">
      <c r="A3" s="48" t="s">
        <v>53</v>
      </c>
      <c r="B3" s="49" t="str">
        <f>VLOOKUP($A3,'Gada kopsavilkums'!$A$9:$F$27,3,FALSE)</f>
        <v>IĻJA IBATUĻĻINS</v>
      </c>
      <c r="C3" s="50">
        <f>VLOOKUP($A3,'Gada kopsavilkums'!$A$9:$Y$27,21,FALSE)</f>
        <v>143.975</v>
      </c>
      <c r="D3" s="46">
        <f t="shared" si="0"/>
        <v>0</v>
      </c>
      <c r="E3" s="51">
        <f t="shared" si="1"/>
        <v>0</v>
      </c>
      <c r="F3" s="51">
        <f t="shared" si="2"/>
        <v>0</v>
      </c>
      <c r="G3" s="51">
        <f t="shared" si="3"/>
        <v>0</v>
      </c>
      <c r="H3" s="51">
        <f t="shared" si="4"/>
        <v>0</v>
      </c>
      <c r="I3" s="51">
        <f t="shared" si="5"/>
        <v>0</v>
      </c>
      <c r="J3" s="51">
        <f t="shared" si="6"/>
        <v>0</v>
      </c>
      <c r="K3" s="51">
        <f t="shared" si="7"/>
        <v>0</v>
      </c>
      <c r="L3" s="51">
        <f t="shared" si="8"/>
        <v>0</v>
      </c>
      <c r="M3" s="51">
        <f t="shared" si="9"/>
        <v>0</v>
      </c>
      <c r="N3" s="51">
        <f t="shared" si="10"/>
        <v>0</v>
      </c>
      <c r="O3" s="51">
        <f t="shared" si="11"/>
        <v>0</v>
      </c>
      <c r="P3" s="51">
        <f t="shared" si="12"/>
        <v>0</v>
      </c>
      <c r="Q3" s="51">
        <f t="shared" si="13"/>
        <v>0</v>
      </c>
      <c r="R3" s="51">
        <f t="shared" si="14"/>
        <v>0</v>
      </c>
      <c r="S3" s="51">
        <f t="shared" si="15"/>
        <v>0</v>
      </c>
      <c r="T3" s="51">
        <f t="shared" si="16"/>
        <v>0</v>
      </c>
      <c r="U3" s="51">
        <f t="shared" si="17"/>
        <v>0</v>
      </c>
      <c r="V3" s="51">
        <f t="shared" si="18"/>
        <v>0</v>
      </c>
      <c r="W3" s="51">
        <f t="shared" si="19"/>
        <v>0</v>
      </c>
      <c r="X3" s="46">
        <f t="shared" si="40" ref="X3:AP3">IF(E3&gt;0,RANK(E3,E$2:E$20),0)</f>
        <v>0</v>
      </c>
      <c r="Y3" s="46">
        <f t="shared" si="40"/>
        <v>0</v>
      </c>
      <c r="Z3" s="46">
        <f t="shared" si="40"/>
        <v>0</v>
      </c>
      <c r="AA3" s="46">
        <f t="shared" si="40"/>
        <v>0</v>
      </c>
      <c r="AB3" s="46">
        <f t="shared" si="40"/>
        <v>0</v>
      </c>
      <c r="AC3" s="46">
        <f t="shared" si="40"/>
        <v>0</v>
      </c>
      <c r="AD3" s="46">
        <f t="shared" si="40"/>
        <v>0</v>
      </c>
      <c r="AE3" s="46">
        <f t="shared" si="40"/>
        <v>0</v>
      </c>
      <c r="AF3" s="46">
        <f t="shared" si="40"/>
        <v>0</v>
      </c>
      <c r="AG3" s="46">
        <f t="shared" si="40"/>
        <v>0</v>
      </c>
      <c r="AH3" s="46">
        <f t="shared" si="40"/>
        <v>0</v>
      </c>
      <c r="AI3" s="46">
        <f t="shared" si="40"/>
        <v>0</v>
      </c>
      <c r="AJ3" s="46">
        <f t="shared" si="40"/>
        <v>0</v>
      </c>
      <c r="AK3" s="46">
        <f t="shared" si="40"/>
        <v>0</v>
      </c>
      <c r="AL3" s="46">
        <f t="shared" si="40"/>
        <v>0</v>
      </c>
      <c r="AM3" s="46">
        <f t="shared" si="40"/>
        <v>0</v>
      </c>
      <c r="AN3" s="46">
        <f t="shared" si="40"/>
        <v>0</v>
      </c>
      <c r="AO3" s="46">
        <f t="shared" si="40"/>
        <v>0</v>
      </c>
      <c r="AP3" s="46">
        <f t="shared" si="40"/>
        <v>0</v>
      </c>
      <c r="AQ3" s="52">
        <f t="shared" si="21"/>
        <v>0</v>
      </c>
      <c r="AR3" s="52">
        <f t="shared" si="22"/>
        <v>0</v>
      </c>
      <c r="AS3" s="52">
        <f t="shared" si="23"/>
        <v>0</v>
      </c>
      <c r="AT3" s="52">
        <f t="shared" si="24"/>
        <v>0</v>
      </c>
      <c r="AU3" s="52">
        <f t="shared" si="25"/>
        <v>0</v>
      </c>
      <c r="AV3" s="52">
        <f t="shared" si="26"/>
        <v>0</v>
      </c>
      <c r="AW3" s="52">
        <f t="shared" si="27"/>
        <v>0</v>
      </c>
      <c r="AX3" s="52">
        <f t="shared" si="28"/>
        <v>0</v>
      </c>
      <c r="AY3" s="52">
        <f t="shared" si="29"/>
        <v>0</v>
      </c>
      <c r="AZ3" s="52">
        <f t="shared" si="30"/>
        <v>0</v>
      </c>
      <c r="BA3" s="52">
        <f t="shared" si="31"/>
        <v>0</v>
      </c>
      <c r="BB3" s="52">
        <f t="shared" si="32"/>
        <v>0</v>
      </c>
      <c r="BC3" s="52">
        <f t="shared" si="33"/>
        <v>0</v>
      </c>
      <c r="BD3" s="52">
        <f t="shared" si="34"/>
        <v>0</v>
      </c>
      <c r="BE3" s="52">
        <f t="shared" si="35"/>
        <v>0</v>
      </c>
      <c r="BF3" s="52">
        <f t="shared" si="36"/>
        <v>0</v>
      </c>
      <c r="BG3" s="52">
        <f t="shared" si="37"/>
        <v>0</v>
      </c>
      <c r="BH3" s="52">
        <f t="shared" si="38"/>
        <v>0</v>
      </c>
      <c r="BI3" s="52">
        <f t="shared" si="39"/>
        <v>0</v>
      </c>
    </row>
    <row r="4" spans="1:61" ht="14.25" customHeight="1">
      <c r="A4" s="48" t="s">
        <v>16</v>
      </c>
      <c r="B4" s="49" t="str">
        <f>VLOOKUP($A4,'Gada kopsavilkums'!$A$9:$F$27,3,FALSE)</f>
        <v>RAIVO ANTROPS</v>
      </c>
      <c r="C4" s="50">
        <f>VLOOKUP($A4,'Gada kopsavilkums'!$A$9:$Y$27,21,FALSE)</f>
        <v>89.725</v>
      </c>
      <c r="D4" s="46">
        <f t="shared" si="0"/>
        <v>0</v>
      </c>
      <c r="E4" s="51">
        <f t="shared" si="1"/>
        <v>0</v>
      </c>
      <c r="F4" s="51">
        <f t="shared" si="2"/>
        <v>0</v>
      </c>
      <c r="G4" s="51">
        <f t="shared" si="3"/>
        <v>0</v>
      </c>
      <c r="H4" s="51">
        <f t="shared" si="4"/>
        <v>0</v>
      </c>
      <c r="I4" s="51">
        <f t="shared" si="5"/>
        <v>0</v>
      </c>
      <c r="J4" s="51">
        <f t="shared" si="6"/>
        <v>0</v>
      </c>
      <c r="K4" s="51">
        <f t="shared" si="7"/>
        <v>0</v>
      </c>
      <c r="L4" s="51">
        <f t="shared" si="8"/>
        <v>0</v>
      </c>
      <c r="M4" s="51">
        <f t="shared" si="9"/>
        <v>0</v>
      </c>
      <c r="N4" s="51">
        <f t="shared" si="10"/>
        <v>0</v>
      </c>
      <c r="O4" s="51">
        <f t="shared" si="11"/>
        <v>0</v>
      </c>
      <c r="P4" s="51">
        <f t="shared" si="12"/>
        <v>0</v>
      </c>
      <c r="Q4" s="51">
        <f t="shared" si="13"/>
        <v>0</v>
      </c>
      <c r="R4" s="51">
        <f t="shared" si="14"/>
        <v>0</v>
      </c>
      <c r="S4" s="51">
        <f t="shared" si="15"/>
        <v>0</v>
      </c>
      <c r="T4" s="51">
        <f t="shared" si="16"/>
        <v>0</v>
      </c>
      <c r="U4" s="51">
        <f t="shared" si="17"/>
        <v>0</v>
      </c>
      <c r="V4" s="51">
        <f t="shared" si="18"/>
        <v>0</v>
      </c>
      <c r="W4" s="51">
        <f t="shared" si="19"/>
        <v>0</v>
      </c>
      <c r="X4" s="46">
        <f t="shared" si="41" ref="X4:AP4">IF(E4&gt;0,RANK(E4,E$2:E$20),0)</f>
        <v>0</v>
      </c>
      <c r="Y4" s="46">
        <f t="shared" si="41"/>
        <v>0</v>
      </c>
      <c r="Z4" s="46">
        <f t="shared" si="41"/>
        <v>0</v>
      </c>
      <c r="AA4" s="46">
        <f t="shared" si="41"/>
        <v>0</v>
      </c>
      <c r="AB4" s="46">
        <f t="shared" si="41"/>
        <v>0</v>
      </c>
      <c r="AC4" s="46">
        <f t="shared" si="41"/>
        <v>0</v>
      </c>
      <c r="AD4" s="46">
        <f t="shared" si="41"/>
        <v>0</v>
      </c>
      <c r="AE4" s="46">
        <f t="shared" si="41"/>
        <v>0</v>
      </c>
      <c r="AF4" s="46">
        <f t="shared" si="41"/>
        <v>0</v>
      </c>
      <c r="AG4" s="46">
        <f t="shared" si="41"/>
        <v>0</v>
      </c>
      <c r="AH4" s="46">
        <f t="shared" si="41"/>
        <v>0</v>
      </c>
      <c r="AI4" s="46">
        <f t="shared" si="41"/>
        <v>0</v>
      </c>
      <c r="AJ4" s="46">
        <f t="shared" si="41"/>
        <v>0</v>
      </c>
      <c r="AK4" s="46">
        <f t="shared" si="41"/>
        <v>0</v>
      </c>
      <c r="AL4" s="46">
        <f t="shared" si="41"/>
        <v>0</v>
      </c>
      <c r="AM4" s="46">
        <f t="shared" si="41"/>
        <v>0</v>
      </c>
      <c r="AN4" s="46">
        <f t="shared" si="41"/>
        <v>0</v>
      </c>
      <c r="AO4" s="46">
        <f t="shared" si="41"/>
        <v>0</v>
      </c>
      <c r="AP4" s="46">
        <f t="shared" si="41"/>
        <v>0</v>
      </c>
      <c r="AQ4" s="52">
        <f t="shared" si="21"/>
        <v>0</v>
      </c>
      <c r="AR4" s="52">
        <f t="shared" si="22"/>
        <v>0</v>
      </c>
      <c r="AS4" s="52">
        <f t="shared" si="23"/>
        <v>0</v>
      </c>
      <c r="AT4" s="52">
        <f t="shared" si="24"/>
        <v>0</v>
      </c>
      <c r="AU4" s="52">
        <f t="shared" si="25"/>
        <v>0</v>
      </c>
      <c r="AV4" s="52">
        <f t="shared" si="26"/>
        <v>0</v>
      </c>
      <c r="AW4" s="52">
        <f t="shared" si="27"/>
        <v>0</v>
      </c>
      <c r="AX4" s="52">
        <f t="shared" si="28"/>
        <v>0</v>
      </c>
      <c r="AY4" s="52">
        <f t="shared" si="29"/>
        <v>0</v>
      </c>
      <c r="AZ4" s="52">
        <f t="shared" si="30"/>
        <v>0</v>
      </c>
      <c r="BA4" s="52">
        <f t="shared" si="31"/>
        <v>0</v>
      </c>
      <c r="BB4" s="52">
        <f t="shared" si="32"/>
        <v>0</v>
      </c>
      <c r="BC4" s="52">
        <f t="shared" si="33"/>
        <v>0</v>
      </c>
      <c r="BD4" s="52">
        <f t="shared" si="34"/>
        <v>0</v>
      </c>
      <c r="BE4" s="52">
        <f t="shared" si="35"/>
        <v>0</v>
      </c>
      <c r="BF4" s="52">
        <f t="shared" si="36"/>
        <v>0</v>
      </c>
      <c r="BG4" s="52">
        <f t="shared" si="37"/>
        <v>0</v>
      </c>
      <c r="BH4" s="52">
        <f t="shared" si="38"/>
        <v>0</v>
      </c>
      <c r="BI4" s="52">
        <f t="shared" si="39"/>
        <v>0</v>
      </c>
    </row>
    <row r="5" spans="1:61" ht="14.25" customHeight="1">
      <c r="A5" s="48" t="s">
        <v>30</v>
      </c>
      <c r="B5" s="49" t="str">
        <f>VLOOKUP($A5,'Gada kopsavilkums'!$A$9:$F$27,3,FALSE)</f>
        <v>MAIRIS SPROĢIS</v>
      </c>
      <c r="C5" s="50">
        <f>VLOOKUP($A5,'Gada kopsavilkums'!$A$9:$Y$27,21,FALSE)</f>
        <v>89.875</v>
      </c>
      <c r="D5" s="46">
        <f t="shared" si="0"/>
        <v>0</v>
      </c>
      <c r="E5" s="51">
        <f t="shared" si="1"/>
        <v>0</v>
      </c>
      <c r="F5" s="51">
        <f t="shared" si="2"/>
        <v>0</v>
      </c>
      <c r="G5" s="51">
        <f t="shared" si="3"/>
        <v>0</v>
      </c>
      <c r="H5" s="51">
        <f t="shared" si="4"/>
        <v>0</v>
      </c>
      <c r="I5" s="51">
        <f t="shared" si="5"/>
        <v>0</v>
      </c>
      <c r="J5" s="51">
        <f t="shared" si="6"/>
        <v>0</v>
      </c>
      <c r="K5" s="51">
        <f t="shared" si="7"/>
        <v>0</v>
      </c>
      <c r="L5" s="51">
        <f t="shared" si="8"/>
        <v>0</v>
      </c>
      <c r="M5" s="51">
        <f t="shared" si="9"/>
        <v>0</v>
      </c>
      <c r="N5" s="51">
        <f t="shared" si="10"/>
        <v>0</v>
      </c>
      <c r="O5" s="51">
        <f t="shared" si="11"/>
        <v>0</v>
      </c>
      <c r="P5" s="51">
        <f t="shared" si="12"/>
        <v>0</v>
      </c>
      <c r="Q5" s="51">
        <f t="shared" si="13"/>
        <v>0</v>
      </c>
      <c r="R5" s="51">
        <f t="shared" si="14"/>
        <v>0</v>
      </c>
      <c r="S5" s="51">
        <f t="shared" si="15"/>
        <v>0</v>
      </c>
      <c r="T5" s="51">
        <f t="shared" si="16"/>
        <v>0</v>
      </c>
      <c r="U5" s="51">
        <f t="shared" si="17"/>
        <v>0</v>
      </c>
      <c r="V5" s="51">
        <f t="shared" si="18"/>
        <v>0</v>
      </c>
      <c r="W5" s="51">
        <f t="shared" si="19"/>
        <v>0</v>
      </c>
      <c r="X5" s="46">
        <f t="shared" si="42" ref="X5:AP5">IF(E5&gt;0,RANK(E5,E$2:E$20),0)</f>
        <v>0</v>
      </c>
      <c r="Y5" s="46">
        <f t="shared" si="42"/>
        <v>0</v>
      </c>
      <c r="Z5" s="46">
        <f t="shared" si="42"/>
        <v>0</v>
      </c>
      <c r="AA5" s="46">
        <f t="shared" si="42"/>
        <v>0</v>
      </c>
      <c r="AB5" s="46">
        <f t="shared" si="42"/>
        <v>0</v>
      </c>
      <c r="AC5" s="46">
        <f t="shared" si="42"/>
        <v>0</v>
      </c>
      <c r="AD5" s="46">
        <f t="shared" si="42"/>
        <v>0</v>
      </c>
      <c r="AE5" s="46">
        <f t="shared" si="42"/>
        <v>0</v>
      </c>
      <c r="AF5" s="46">
        <f t="shared" si="42"/>
        <v>0</v>
      </c>
      <c r="AG5" s="46">
        <f t="shared" si="42"/>
        <v>0</v>
      </c>
      <c r="AH5" s="46">
        <f t="shared" si="42"/>
        <v>0</v>
      </c>
      <c r="AI5" s="46">
        <f t="shared" si="42"/>
        <v>0</v>
      </c>
      <c r="AJ5" s="46">
        <f t="shared" si="42"/>
        <v>0</v>
      </c>
      <c r="AK5" s="46">
        <f t="shared" si="42"/>
        <v>0</v>
      </c>
      <c r="AL5" s="46">
        <f t="shared" si="42"/>
        <v>0</v>
      </c>
      <c r="AM5" s="46">
        <f t="shared" si="42"/>
        <v>0</v>
      </c>
      <c r="AN5" s="46">
        <f t="shared" si="42"/>
        <v>0</v>
      </c>
      <c r="AO5" s="46">
        <f t="shared" si="42"/>
        <v>0</v>
      </c>
      <c r="AP5" s="46">
        <f t="shared" si="42"/>
        <v>0</v>
      </c>
      <c r="AQ5" s="52">
        <f t="shared" si="21"/>
        <v>0</v>
      </c>
      <c r="AR5" s="52">
        <f t="shared" si="22"/>
        <v>0</v>
      </c>
      <c r="AS5" s="52">
        <f t="shared" si="23"/>
        <v>0</v>
      </c>
      <c r="AT5" s="52">
        <f t="shared" si="24"/>
        <v>0</v>
      </c>
      <c r="AU5" s="52">
        <f t="shared" si="25"/>
        <v>0</v>
      </c>
      <c r="AV5" s="52">
        <f t="shared" si="26"/>
        <v>0</v>
      </c>
      <c r="AW5" s="52">
        <f t="shared" si="27"/>
        <v>0</v>
      </c>
      <c r="AX5" s="52">
        <f t="shared" si="28"/>
        <v>0</v>
      </c>
      <c r="AY5" s="52">
        <f t="shared" si="29"/>
        <v>0</v>
      </c>
      <c r="AZ5" s="52">
        <f t="shared" si="30"/>
        <v>0</v>
      </c>
      <c r="BA5" s="52">
        <f t="shared" si="31"/>
        <v>0</v>
      </c>
      <c r="BB5" s="52">
        <f t="shared" si="32"/>
        <v>0</v>
      </c>
      <c r="BC5" s="52">
        <f t="shared" si="33"/>
        <v>0</v>
      </c>
      <c r="BD5" s="52">
        <f t="shared" si="34"/>
        <v>0</v>
      </c>
      <c r="BE5" s="52">
        <f t="shared" si="35"/>
        <v>0</v>
      </c>
      <c r="BF5" s="52">
        <f t="shared" si="36"/>
        <v>0</v>
      </c>
      <c r="BG5" s="52">
        <f t="shared" si="37"/>
        <v>0</v>
      </c>
      <c r="BH5" s="52">
        <f t="shared" si="38"/>
        <v>0</v>
      </c>
      <c r="BI5" s="52">
        <f t="shared" si="39"/>
        <v>0</v>
      </c>
    </row>
    <row r="6" spans="1:61" ht="14.25" customHeight="1">
      <c r="A6" s="48" t="s">
        <v>32</v>
      </c>
      <c r="B6" s="49" t="str">
        <f>VLOOKUP($A6,'Gada kopsavilkums'!$A$9:$F$27,3,FALSE)</f>
        <v>JOZS GRUŠS</v>
      </c>
      <c r="C6" s="50">
        <f>VLOOKUP($A6,'Gada kopsavilkums'!$A$9:$Y$27,21,FALSE)</f>
        <v>70.17500000000001</v>
      </c>
      <c r="D6" s="46">
        <f t="shared" si="0"/>
        <v>0</v>
      </c>
      <c r="E6" s="51">
        <f t="shared" si="1"/>
        <v>0</v>
      </c>
      <c r="F6" s="51">
        <f t="shared" si="2"/>
        <v>0</v>
      </c>
      <c r="G6" s="51">
        <f t="shared" si="3"/>
        <v>0</v>
      </c>
      <c r="H6" s="51">
        <f t="shared" si="4"/>
        <v>0</v>
      </c>
      <c r="I6" s="51">
        <f t="shared" si="5"/>
        <v>0</v>
      </c>
      <c r="J6" s="51">
        <f t="shared" si="6"/>
        <v>0</v>
      </c>
      <c r="K6" s="51">
        <f t="shared" si="7"/>
        <v>0</v>
      </c>
      <c r="L6" s="51">
        <f t="shared" si="8"/>
        <v>0</v>
      </c>
      <c r="M6" s="51">
        <f t="shared" si="9"/>
        <v>0</v>
      </c>
      <c r="N6" s="51">
        <f t="shared" si="10"/>
        <v>0</v>
      </c>
      <c r="O6" s="51">
        <f t="shared" si="11"/>
        <v>0</v>
      </c>
      <c r="P6" s="51">
        <f t="shared" si="12"/>
        <v>0</v>
      </c>
      <c r="Q6" s="51">
        <f t="shared" si="13"/>
        <v>0</v>
      </c>
      <c r="R6" s="51">
        <f t="shared" si="14"/>
        <v>0</v>
      </c>
      <c r="S6" s="51">
        <f t="shared" si="15"/>
        <v>0</v>
      </c>
      <c r="T6" s="51">
        <f t="shared" si="16"/>
        <v>0</v>
      </c>
      <c r="U6" s="51">
        <f t="shared" si="17"/>
        <v>0</v>
      </c>
      <c r="V6" s="51">
        <f t="shared" si="18"/>
        <v>0</v>
      </c>
      <c r="W6" s="51">
        <f t="shared" si="19"/>
        <v>0</v>
      </c>
      <c r="X6" s="46">
        <f t="shared" si="43" ref="X6:AP6">IF(E6&gt;0,RANK(E6,E$2:E$20),0)</f>
        <v>0</v>
      </c>
      <c r="Y6" s="46">
        <f t="shared" si="43"/>
        <v>0</v>
      </c>
      <c r="Z6" s="46">
        <f t="shared" si="43"/>
        <v>0</v>
      </c>
      <c r="AA6" s="46">
        <f t="shared" si="43"/>
        <v>0</v>
      </c>
      <c r="AB6" s="46">
        <f t="shared" si="43"/>
        <v>0</v>
      </c>
      <c r="AC6" s="46">
        <f t="shared" si="43"/>
        <v>0</v>
      </c>
      <c r="AD6" s="46">
        <f t="shared" si="43"/>
        <v>0</v>
      </c>
      <c r="AE6" s="46">
        <f t="shared" si="43"/>
        <v>0</v>
      </c>
      <c r="AF6" s="46">
        <f t="shared" si="43"/>
        <v>0</v>
      </c>
      <c r="AG6" s="46">
        <f t="shared" si="43"/>
        <v>0</v>
      </c>
      <c r="AH6" s="46">
        <f t="shared" si="43"/>
        <v>0</v>
      </c>
      <c r="AI6" s="46">
        <f t="shared" si="43"/>
        <v>0</v>
      </c>
      <c r="AJ6" s="46">
        <f t="shared" si="43"/>
        <v>0</v>
      </c>
      <c r="AK6" s="46">
        <f t="shared" si="43"/>
        <v>0</v>
      </c>
      <c r="AL6" s="46">
        <f t="shared" si="43"/>
        <v>0</v>
      </c>
      <c r="AM6" s="46">
        <f t="shared" si="43"/>
        <v>0</v>
      </c>
      <c r="AN6" s="46">
        <f t="shared" si="43"/>
        <v>0</v>
      </c>
      <c r="AO6" s="46">
        <f t="shared" si="43"/>
        <v>0</v>
      </c>
      <c r="AP6" s="46">
        <f t="shared" si="43"/>
        <v>0</v>
      </c>
      <c r="AQ6" s="52">
        <f t="shared" si="21"/>
        <v>0</v>
      </c>
      <c r="AR6" s="52">
        <f t="shared" si="22"/>
        <v>0</v>
      </c>
      <c r="AS6" s="52">
        <f t="shared" si="23"/>
        <v>0</v>
      </c>
      <c r="AT6" s="52">
        <f t="shared" si="24"/>
        <v>0</v>
      </c>
      <c r="AU6" s="52">
        <f t="shared" si="25"/>
        <v>0</v>
      </c>
      <c r="AV6" s="52">
        <f t="shared" si="26"/>
        <v>0</v>
      </c>
      <c r="AW6" s="52">
        <f t="shared" si="27"/>
        <v>0</v>
      </c>
      <c r="AX6" s="52">
        <f t="shared" si="28"/>
        <v>0</v>
      </c>
      <c r="AY6" s="52">
        <f t="shared" si="29"/>
        <v>0</v>
      </c>
      <c r="AZ6" s="52">
        <f t="shared" si="30"/>
        <v>0</v>
      </c>
      <c r="BA6" s="52">
        <f t="shared" si="31"/>
        <v>0</v>
      </c>
      <c r="BB6" s="52">
        <f t="shared" si="32"/>
        <v>0</v>
      </c>
      <c r="BC6" s="52">
        <f t="shared" si="33"/>
        <v>0</v>
      </c>
      <c r="BD6" s="52">
        <f t="shared" si="34"/>
        <v>0</v>
      </c>
      <c r="BE6" s="52">
        <f t="shared" si="35"/>
        <v>0</v>
      </c>
      <c r="BF6" s="52">
        <f t="shared" si="36"/>
        <v>0</v>
      </c>
      <c r="BG6" s="52">
        <f t="shared" si="37"/>
        <v>0</v>
      </c>
      <c r="BH6" s="52">
        <f t="shared" si="38"/>
        <v>0</v>
      </c>
      <c r="BI6" s="52">
        <f t="shared" si="39"/>
        <v>0</v>
      </c>
    </row>
    <row r="7" spans="1:61" ht="14.25" customHeight="1">
      <c r="A7" s="48" t="s">
        <v>13</v>
      </c>
      <c r="B7" s="49" t="str">
        <f>VLOOKUP($A7,'Gada kopsavilkums'!$A$9:$F$27,3,FALSE)</f>
        <v>ARTJOMS ŅEČEPURENKO</v>
      </c>
      <c r="C7" s="50">
        <f>VLOOKUP($A7,'Gada kopsavilkums'!$A$9:$Y$27,21,FALSE)</f>
        <v>121.55499999999999</v>
      </c>
      <c r="D7" s="46">
        <f t="shared" si="0"/>
        <v>0</v>
      </c>
      <c r="E7" s="51">
        <f t="shared" si="1"/>
        <v>0</v>
      </c>
      <c r="F7" s="51">
        <f t="shared" si="2"/>
        <v>0</v>
      </c>
      <c r="G7" s="51">
        <f t="shared" si="3"/>
        <v>0</v>
      </c>
      <c r="H7" s="51">
        <f t="shared" si="4"/>
        <v>0</v>
      </c>
      <c r="I7" s="51">
        <f t="shared" si="5"/>
        <v>0</v>
      </c>
      <c r="J7" s="51">
        <f t="shared" si="6"/>
        <v>0</v>
      </c>
      <c r="K7" s="51">
        <f t="shared" si="7"/>
        <v>0</v>
      </c>
      <c r="L7" s="51">
        <f t="shared" si="8"/>
        <v>0</v>
      </c>
      <c r="M7" s="51">
        <f t="shared" si="9"/>
        <v>0</v>
      </c>
      <c r="N7" s="51">
        <f t="shared" si="10"/>
        <v>0</v>
      </c>
      <c r="O7" s="51">
        <f t="shared" si="11"/>
        <v>0</v>
      </c>
      <c r="P7" s="51">
        <f t="shared" si="12"/>
        <v>0</v>
      </c>
      <c r="Q7" s="51">
        <f t="shared" si="13"/>
        <v>0</v>
      </c>
      <c r="R7" s="51">
        <f t="shared" si="14"/>
        <v>0</v>
      </c>
      <c r="S7" s="51">
        <f t="shared" si="15"/>
        <v>0</v>
      </c>
      <c r="T7" s="51">
        <f t="shared" si="16"/>
        <v>0</v>
      </c>
      <c r="U7" s="51">
        <f t="shared" si="17"/>
        <v>0</v>
      </c>
      <c r="V7" s="51">
        <f t="shared" si="18"/>
        <v>0</v>
      </c>
      <c r="W7" s="51">
        <f t="shared" si="19"/>
        <v>0</v>
      </c>
      <c r="X7" s="46">
        <f t="shared" si="44" ref="X7:AP7">IF(E7&gt;0,RANK(E7,E$2:E$20),0)</f>
        <v>0</v>
      </c>
      <c r="Y7" s="46">
        <f t="shared" si="44"/>
        <v>0</v>
      </c>
      <c r="Z7" s="46">
        <f t="shared" si="44"/>
        <v>0</v>
      </c>
      <c r="AA7" s="46">
        <f t="shared" si="44"/>
        <v>0</v>
      </c>
      <c r="AB7" s="46">
        <f t="shared" si="44"/>
        <v>0</v>
      </c>
      <c r="AC7" s="46">
        <f t="shared" si="44"/>
        <v>0</v>
      </c>
      <c r="AD7" s="46">
        <f t="shared" si="44"/>
        <v>0</v>
      </c>
      <c r="AE7" s="46">
        <f t="shared" si="44"/>
        <v>0</v>
      </c>
      <c r="AF7" s="46">
        <f t="shared" si="44"/>
        <v>0</v>
      </c>
      <c r="AG7" s="46">
        <f t="shared" si="44"/>
        <v>0</v>
      </c>
      <c r="AH7" s="46">
        <f t="shared" si="44"/>
        <v>0</v>
      </c>
      <c r="AI7" s="46">
        <f t="shared" si="44"/>
        <v>0</v>
      </c>
      <c r="AJ7" s="46">
        <f t="shared" si="44"/>
        <v>0</v>
      </c>
      <c r="AK7" s="46">
        <f t="shared" si="44"/>
        <v>0</v>
      </c>
      <c r="AL7" s="46">
        <f t="shared" si="44"/>
        <v>0</v>
      </c>
      <c r="AM7" s="46">
        <f t="shared" si="44"/>
        <v>0</v>
      </c>
      <c r="AN7" s="46">
        <f t="shared" si="44"/>
        <v>0</v>
      </c>
      <c r="AO7" s="46">
        <f t="shared" si="44"/>
        <v>0</v>
      </c>
      <c r="AP7" s="46">
        <f t="shared" si="44"/>
        <v>0</v>
      </c>
      <c r="AQ7" s="52">
        <f t="shared" si="21"/>
        <v>0</v>
      </c>
      <c r="AR7" s="52">
        <f t="shared" si="22"/>
        <v>0</v>
      </c>
      <c r="AS7" s="52">
        <f t="shared" si="23"/>
        <v>0</v>
      </c>
      <c r="AT7" s="52">
        <f t="shared" si="24"/>
        <v>0</v>
      </c>
      <c r="AU7" s="52">
        <f t="shared" si="25"/>
        <v>0</v>
      </c>
      <c r="AV7" s="52">
        <f t="shared" si="26"/>
        <v>0</v>
      </c>
      <c r="AW7" s="52">
        <f t="shared" si="27"/>
        <v>0</v>
      </c>
      <c r="AX7" s="52">
        <f t="shared" si="28"/>
        <v>0</v>
      </c>
      <c r="AY7" s="52">
        <f t="shared" si="29"/>
        <v>0</v>
      </c>
      <c r="AZ7" s="52">
        <f t="shared" si="30"/>
        <v>0</v>
      </c>
      <c r="BA7" s="52">
        <f t="shared" si="31"/>
        <v>0</v>
      </c>
      <c r="BB7" s="52">
        <f t="shared" si="32"/>
        <v>0</v>
      </c>
      <c r="BC7" s="52">
        <f t="shared" si="33"/>
        <v>0</v>
      </c>
      <c r="BD7" s="52">
        <f t="shared" si="34"/>
        <v>0</v>
      </c>
      <c r="BE7" s="52">
        <f t="shared" si="35"/>
        <v>0</v>
      </c>
      <c r="BF7" s="52">
        <f t="shared" si="36"/>
        <v>0</v>
      </c>
      <c r="BG7" s="52">
        <f t="shared" si="37"/>
        <v>0</v>
      </c>
      <c r="BH7" s="52">
        <f t="shared" si="38"/>
        <v>0</v>
      </c>
      <c r="BI7" s="52">
        <f t="shared" si="39"/>
        <v>0</v>
      </c>
    </row>
    <row r="8" spans="1:61" ht="14.25" customHeight="1">
      <c r="A8" s="48" t="s">
        <v>36</v>
      </c>
      <c r="B8" s="49" t="str">
        <f>VLOOKUP($A8,'Gada kopsavilkums'!$A$9:$F$27,3,FALSE)</f>
        <v>RAIVIS RUĢELIS</v>
      </c>
      <c r="C8" s="50">
        <f>VLOOKUP($A8,'Gada kopsavilkums'!$A$9:$Y$27,21,FALSE)</f>
        <v>83.725</v>
      </c>
      <c r="D8" s="46">
        <f t="shared" si="0"/>
        <v>0</v>
      </c>
      <c r="E8" s="51">
        <f t="shared" si="1"/>
        <v>0</v>
      </c>
      <c r="F8" s="51">
        <f t="shared" si="2"/>
        <v>0</v>
      </c>
      <c r="G8" s="51">
        <f t="shared" si="3"/>
        <v>0</v>
      </c>
      <c r="H8" s="51">
        <f t="shared" si="4"/>
        <v>0</v>
      </c>
      <c r="I8" s="51">
        <f t="shared" si="5"/>
        <v>0</v>
      </c>
      <c r="J8" s="51">
        <f t="shared" si="6"/>
        <v>0</v>
      </c>
      <c r="K8" s="51">
        <f t="shared" si="7"/>
        <v>0</v>
      </c>
      <c r="L8" s="51">
        <f t="shared" si="8"/>
        <v>0</v>
      </c>
      <c r="M8" s="51">
        <f t="shared" si="9"/>
        <v>0</v>
      </c>
      <c r="N8" s="51">
        <f t="shared" si="10"/>
        <v>0</v>
      </c>
      <c r="O8" s="51">
        <f t="shared" si="11"/>
        <v>0</v>
      </c>
      <c r="P8" s="51">
        <f t="shared" si="12"/>
        <v>0</v>
      </c>
      <c r="Q8" s="51">
        <f t="shared" si="13"/>
        <v>0</v>
      </c>
      <c r="R8" s="51">
        <f t="shared" si="14"/>
        <v>0</v>
      </c>
      <c r="S8" s="51">
        <f t="shared" si="15"/>
        <v>0</v>
      </c>
      <c r="T8" s="51">
        <f t="shared" si="16"/>
        <v>0</v>
      </c>
      <c r="U8" s="51">
        <f t="shared" si="17"/>
        <v>0</v>
      </c>
      <c r="V8" s="51">
        <f t="shared" si="18"/>
        <v>0</v>
      </c>
      <c r="W8" s="51">
        <f t="shared" si="19"/>
        <v>0</v>
      </c>
      <c r="X8" s="46">
        <f t="shared" si="45" ref="X8:AP8">IF(E8&gt;0,RANK(E8,E$2:E$20),0)</f>
        <v>0</v>
      </c>
      <c r="Y8" s="46">
        <f t="shared" si="45"/>
        <v>0</v>
      </c>
      <c r="Z8" s="46">
        <f t="shared" si="45"/>
        <v>0</v>
      </c>
      <c r="AA8" s="46">
        <f t="shared" si="45"/>
        <v>0</v>
      </c>
      <c r="AB8" s="46">
        <f t="shared" si="45"/>
        <v>0</v>
      </c>
      <c r="AC8" s="46">
        <f t="shared" si="45"/>
        <v>0</v>
      </c>
      <c r="AD8" s="46">
        <f t="shared" si="45"/>
        <v>0</v>
      </c>
      <c r="AE8" s="46">
        <f t="shared" si="45"/>
        <v>0</v>
      </c>
      <c r="AF8" s="46">
        <f t="shared" si="45"/>
        <v>0</v>
      </c>
      <c r="AG8" s="46">
        <f t="shared" si="45"/>
        <v>0</v>
      </c>
      <c r="AH8" s="46">
        <f t="shared" si="45"/>
        <v>0</v>
      </c>
      <c r="AI8" s="46">
        <f t="shared" si="45"/>
        <v>0</v>
      </c>
      <c r="AJ8" s="46">
        <f t="shared" si="45"/>
        <v>0</v>
      </c>
      <c r="AK8" s="46">
        <f t="shared" si="45"/>
        <v>0</v>
      </c>
      <c r="AL8" s="46">
        <f t="shared" si="45"/>
        <v>0</v>
      </c>
      <c r="AM8" s="46">
        <f t="shared" si="45"/>
        <v>0</v>
      </c>
      <c r="AN8" s="46">
        <f t="shared" si="45"/>
        <v>0</v>
      </c>
      <c r="AO8" s="46">
        <f t="shared" si="45"/>
        <v>0</v>
      </c>
      <c r="AP8" s="46">
        <f t="shared" si="45"/>
        <v>0</v>
      </c>
      <c r="AQ8" s="52">
        <f t="shared" si="21"/>
        <v>0</v>
      </c>
      <c r="AR8" s="52">
        <f t="shared" si="22"/>
        <v>0</v>
      </c>
      <c r="AS8" s="52">
        <f t="shared" si="23"/>
        <v>0</v>
      </c>
      <c r="AT8" s="52">
        <f t="shared" si="24"/>
        <v>0</v>
      </c>
      <c r="AU8" s="52">
        <f t="shared" si="25"/>
        <v>0</v>
      </c>
      <c r="AV8" s="52">
        <f t="shared" si="26"/>
        <v>0</v>
      </c>
      <c r="AW8" s="52">
        <f t="shared" si="27"/>
        <v>0</v>
      </c>
      <c r="AX8" s="52">
        <f t="shared" si="28"/>
        <v>0</v>
      </c>
      <c r="AY8" s="52">
        <f t="shared" si="29"/>
        <v>0</v>
      </c>
      <c r="AZ8" s="52">
        <f t="shared" si="30"/>
        <v>0</v>
      </c>
      <c r="BA8" s="52">
        <f t="shared" si="31"/>
        <v>0</v>
      </c>
      <c r="BB8" s="52">
        <f t="shared" si="32"/>
        <v>0</v>
      </c>
      <c r="BC8" s="52">
        <f t="shared" si="33"/>
        <v>0</v>
      </c>
      <c r="BD8" s="52">
        <f t="shared" si="34"/>
        <v>0</v>
      </c>
      <c r="BE8" s="52">
        <f t="shared" si="35"/>
        <v>0</v>
      </c>
      <c r="BF8" s="52">
        <f t="shared" si="36"/>
        <v>0</v>
      </c>
      <c r="BG8" s="52">
        <f t="shared" si="37"/>
        <v>0</v>
      </c>
      <c r="BH8" s="52">
        <f t="shared" si="38"/>
        <v>0</v>
      </c>
      <c r="BI8" s="52">
        <f t="shared" si="39"/>
        <v>0</v>
      </c>
    </row>
    <row r="9" spans="1:61" ht="14.25" customHeight="1">
      <c r="A9" s="48" t="s">
        <v>34</v>
      </c>
      <c r="B9" s="49" t="str">
        <f>VLOOKUP($A9,'Gada kopsavilkums'!$A$9:$F$27,3,FALSE)</f>
        <v>VALTERS PIRKTIŅŠ</v>
      </c>
      <c r="C9" s="50">
        <f>VLOOKUP($A9,'Gada kopsavilkums'!$A$9:$Y$27,21,FALSE)</f>
        <v>141.82</v>
      </c>
      <c r="D9" s="46">
        <f t="shared" si="0"/>
        <v>0</v>
      </c>
      <c r="E9" s="51">
        <f t="shared" si="1"/>
        <v>0</v>
      </c>
      <c r="F9" s="51">
        <f t="shared" si="2"/>
        <v>0</v>
      </c>
      <c r="G9" s="51">
        <f t="shared" si="3"/>
        <v>0</v>
      </c>
      <c r="H9" s="51">
        <f t="shared" si="4"/>
        <v>0</v>
      </c>
      <c r="I9" s="51">
        <f t="shared" si="5"/>
        <v>0</v>
      </c>
      <c r="J9" s="51">
        <f t="shared" si="6"/>
        <v>0</v>
      </c>
      <c r="K9" s="51">
        <f t="shared" si="7"/>
        <v>0</v>
      </c>
      <c r="L9" s="51">
        <f t="shared" si="8"/>
        <v>0</v>
      </c>
      <c r="M9" s="51">
        <f t="shared" si="9"/>
        <v>0</v>
      </c>
      <c r="N9" s="51">
        <f t="shared" si="10"/>
        <v>0</v>
      </c>
      <c r="O9" s="51">
        <f t="shared" si="11"/>
        <v>0</v>
      </c>
      <c r="P9" s="51">
        <f t="shared" si="12"/>
        <v>0</v>
      </c>
      <c r="Q9" s="51">
        <f t="shared" si="13"/>
        <v>0</v>
      </c>
      <c r="R9" s="51">
        <f t="shared" si="14"/>
        <v>0</v>
      </c>
      <c r="S9" s="51">
        <f t="shared" si="15"/>
        <v>0</v>
      </c>
      <c r="T9" s="51">
        <f t="shared" si="16"/>
        <v>0</v>
      </c>
      <c r="U9" s="51">
        <f t="shared" si="17"/>
        <v>0</v>
      </c>
      <c r="V9" s="51">
        <f t="shared" si="18"/>
        <v>0</v>
      </c>
      <c r="W9" s="51">
        <f t="shared" si="19"/>
        <v>0</v>
      </c>
      <c r="X9" s="46">
        <f t="shared" si="46" ref="X9:AC9">IF(E9&gt;0,RANK(E9,E$2:E$20),0)</f>
        <v>0</v>
      </c>
      <c r="Y9" s="46">
        <f t="shared" si="46"/>
        <v>0</v>
      </c>
      <c r="Z9" s="46">
        <f t="shared" si="46"/>
        <v>0</v>
      </c>
      <c r="AA9" s="46">
        <f t="shared" si="46"/>
        <v>0</v>
      </c>
      <c r="AB9" s="46">
        <f t="shared" si="46"/>
        <v>0</v>
      </c>
      <c r="AC9" s="46">
        <f t="shared" si="46"/>
        <v>0</v>
      </c>
      <c r="AD9" s="46">
        <f>IF(K9&gt;0,RANK(K9,K$2:K$20),0)-0.5</f>
        <v>-0.50</v>
      </c>
      <c r="AE9" s="46">
        <f t="shared" si="47" ref="AE9:AP9">IF(L9&gt;0,RANK(L9,L$2:L$20),0)</f>
        <v>0</v>
      </c>
      <c r="AF9" s="46">
        <f t="shared" si="47"/>
        <v>0</v>
      </c>
      <c r="AG9" s="46">
        <f t="shared" si="47"/>
        <v>0</v>
      </c>
      <c r="AH9" s="46">
        <f t="shared" si="47"/>
        <v>0</v>
      </c>
      <c r="AI9" s="46">
        <f t="shared" si="47"/>
        <v>0</v>
      </c>
      <c r="AJ9" s="46">
        <f t="shared" si="47"/>
        <v>0</v>
      </c>
      <c r="AK9" s="46">
        <f t="shared" si="47"/>
        <v>0</v>
      </c>
      <c r="AL9" s="46">
        <f t="shared" si="47"/>
        <v>0</v>
      </c>
      <c r="AM9" s="46">
        <f t="shared" si="47"/>
        <v>0</v>
      </c>
      <c r="AN9" s="46">
        <f t="shared" si="47"/>
        <v>0</v>
      </c>
      <c r="AO9" s="46">
        <f t="shared" si="47"/>
        <v>0</v>
      </c>
      <c r="AP9" s="46">
        <f t="shared" si="47"/>
        <v>0</v>
      </c>
      <c r="AQ9" s="52">
        <f t="shared" si="21"/>
        <v>0</v>
      </c>
      <c r="AR9" s="52">
        <f t="shared" si="22"/>
        <v>0</v>
      </c>
      <c r="AS9" s="52">
        <f t="shared" si="23"/>
        <v>0</v>
      </c>
      <c r="AT9" s="52">
        <f t="shared" si="24"/>
        <v>0</v>
      </c>
      <c r="AU9" s="52">
        <f t="shared" si="25"/>
        <v>0</v>
      </c>
      <c r="AV9" s="52">
        <f t="shared" si="26"/>
        <v>0</v>
      </c>
      <c r="AW9" s="52">
        <f t="shared" si="27"/>
        <v>0</v>
      </c>
      <c r="AX9" s="52">
        <f t="shared" si="28"/>
        <v>0</v>
      </c>
      <c r="AY9" s="52">
        <f t="shared" si="29"/>
        <v>0</v>
      </c>
      <c r="AZ9" s="52">
        <f t="shared" si="30"/>
        <v>0</v>
      </c>
      <c r="BA9" s="52">
        <f t="shared" si="31"/>
        <v>0</v>
      </c>
      <c r="BB9" s="52">
        <f t="shared" si="32"/>
        <v>0</v>
      </c>
      <c r="BC9" s="52">
        <f t="shared" si="33"/>
        <v>0</v>
      </c>
      <c r="BD9" s="52">
        <f t="shared" si="34"/>
        <v>0</v>
      </c>
      <c r="BE9" s="52">
        <f t="shared" si="35"/>
        <v>0</v>
      </c>
      <c r="BF9" s="52">
        <f t="shared" si="36"/>
        <v>0</v>
      </c>
      <c r="BG9" s="52">
        <f t="shared" si="37"/>
        <v>0</v>
      </c>
      <c r="BH9" s="52">
        <f t="shared" si="38"/>
        <v>0</v>
      </c>
      <c r="BI9" s="52">
        <f t="shared" si="39"/>
        <v>0</v>
      </c>
    </row>
    <row r="10" spans="1:61" ht="14.25" customHeight="1">
      <c r="A10" s="53" t="s">
        <v>38</v>
      </c>
      <c r="B10" s="49" t="str">
        <f>VLOOKUP($A10,'Gada kopsavilkums'!$A$9:$F$27,3,FALSE)</f>
        <v>AIVIS BĒRZIŅŠ</v>
      </c>
      <c r="C10" s="50">
        <f>VLOOKUP($A10,'Gada kopsavilkums'!$A$9:$Y$27,21,FALSE)</f>
        <v>38.699999999999996</v>
      </c>
      <c r="D10" s="46">
        <f t="shared" si="0"/>
        <v>0</v>
      </c>
      <c r="E10" s="51">
        <f t="shared" si="1"/>
        <v>0</v>
      </c>
      <c r="F10" s="51">
        <f t="shared" si="2"/>
        <v>0</v>
      </c>
      <c r="G10" s="51">
        <f t="shared" si="3"/>
        <v>0</v>
      </c>
      <c r="H10" s="51">
        <f t="shared" si="4"/>
        <v>0</v>
      </c>
      <c r="I10" s="51">
        <f t="shared" si="5"/>
        <v>0</v>
      </c>
      <c r="J10" s="51">
        <f t="shared" si="6"/>
        <v>0</v>
      </c>
      <c r="K10" s="51">
        <f t="shared" si="7"/>
        <v>0</v>
      </c>
      <c r="L10" s="51">
        <f t="shared" si="8"/>
        <v>0</v>
      </c>
      <c r="M10" s="51">
        <f t="shared" si="9"/>
        <v>0</v>
      </c>
      <c r="N10" s="51">
        <f t="shared" si="10"/>
        <v>0</v>
      </c>
      <c r="O10" s="51">
        <f t="shared" si="11"/>
        <v>0</v>
      </c>
      <c r="P10" s="51">
        <f t="shared" si="12"/>
        <v>0</v>
      </c>
      <c r="Q10" s="51">
        <f t="shared" si="13"/>
        <v>0</v>
      </c>
      <c r="R10" s="51">
        <f t="shared" si="14"/>
        <v>0</v>
      </c>
      <c r="S10" s="51">
        <f t="shared" si="15"/>
        <v>0</v>
      </c>
      <c r="T10" s="51">
        <f t="shared" si="16"/>
        <v>0</v>
      </c>
      <c r="U10" s="51">
        <f t="shared" si="17"/>
        <v>0</v>
      </c>
      <c r="V10" s="51">
        <f t="shared" si="18"/>
        <v>0</v>
      </c>
      <c r="W10" s="51">
        <f t="shared" si="19"/>
        <v>0</v>
      </c>
      <c r="X10" s="46">
        <f t="shared" si="48" ref="X10:AP10">IF(E10&gt;0,RANK(E10,E$2:E$20),0)</f>
        <v>0</v>
      </c>
      <c r="Y10" s="46">
        <f t="shared" si="48"/>
        <v>0</v>
      </c>
      <c r="Z10" s="46">
        <f t="shared" si="48"/>
        <v>0</v>
      </c>
      <c r="AA10" s="46">
        <f t="shared" si="48"/>
        <v>0</v>
      </c>
      <c r="AB10" s="46">
        <f t="shared" si="48"/>
        <v>0</v>
      </c>
      <c r="AC10" s="46">
        <f t="shared" si="48"/>
        <v>0</v>
      </c>
      <c r="AD10" s="46">
        <f t="shared" si="48"/>
        <v>0</v>
      </c>
      <c r="AE10" s="46">
        <f t="shared" si="48"/>
        <v>0</v>
      </c>
      <c r="AF10" s="46">
        <f t="shared" si="48"/>
        <v>0</v>
      </c>
      <c r="AG10" s="46">
        <f t="shared" si="48"/>
        <v>0</v>
      </c>
      <c r="AH10" s="46">
        <f t="shared" si="48"/>
        <v>0</v>
      </c>
      <c r="AI10" s="46">
        <f t="shared" si="48"/>
        <v>0</v>
      </c>
      <c r="AJ10" s="46">
        <f t="shared" si="48"/>
        <v>0</v>
      </c>
      <c r="AK10" s="46">
        <f t="shared" si="48"/>
        <v>0</v>
      </c>
      <c r="AL10" s="46">
        <f t="shared" si="48"/>
        <v>0</v>
      </c>
      <c r="AM10" s="46">
        <f t="shared" si="48"/>
        <v>0</v>
      </c>
      <c r="AN10" s="46">
        <f t="shared" si="48"/>
        <v>0</v>
      </c>
      <c r="AO10" s="46">
        <f t="shared" si="48"/>
        <v>0</v>
      </c>
      <c r="AP10" s="46">
        <f t="shared" si="48"/>
        <v>0</v>
      </c>
      <c r="AQ10" s="52">
        <f t="shared" si="21"/>
        <v>0</v>
      </c>
      <c r="AR10" s="52">
        <f t="shared" si="22"/>
        <v>0</v>
      </c>
      <c r="AS10" s="52">
        <f t="shared" si="23"/>
        <v>0</v>
      </c>
      <c r="AT10" s="52">
        <f t="shared" si="24"/>
        <v>0</v>
      </c>
      <c r="AU10" s="52">
        <f t="shared" si="25"/>
        <v>0</v>
      </c>
      <c r="AV10" s="52">
        <f t="shared" si="26"/>
        <v>0</v>
      </c>
      <c r="AW10" s="52">
        <f t="shared" si="27"/>
        <v>0</v>
      </c>
      <c r="AX10" s="52">
        <f t="shared" si="28"/>
        <v>0</v>
      </c>
      <c r="AY10" s="52">
        <f t="shared" si="29"/>
        <v>0</v>
      </c>
      <c r="AZ10" s="52">
        <f t="shared" si="30"/>
        <v>0</v>
      </c>
      <c r="BA10" s="52">
        <f t="shared" si="31"/>
        <v>0</v>
      </c>
      <c r="BB10" s="52">
        <f t="shared" si="32"/>
        <v>0</v>
      </c>
      <c r="BC10" s="52">
        <f t="shared" si="33"/>
        <v>0</v>
      </c>
      <c r="BD10" s="52">
        <f t="shared" si="34"/>
        <v>0</v>
      </c>
      <c r="BE10" s="52">
        <f t="shared" si="35"/>
        <v>0</v>
      </c>
      <c r="BF10" s="52">
        <f t="shared" si="36"/>
        <v>0</v>
      </c>
      <c r="BG10" s="52">
        <f t="shared" si="37"/>
        <v>0</v>
      </c>
      <c r="BH10" s="52">
        <f t="shared" si="38"/>
        <v>0</v>
      </c>
      <c r="BI10" s="52">
        <f t="shared" si="39"/>
        <v>0</v>
      </c>
    </row>
    <row r="11" spans="1:61" ht="14.25" customHeight="1">
      <c r="A11" s="48" t="s">
        <v>17</v>
      </c>
      <c r="B11" s="49" t="str">
        <f>VLOOKUP($A11,'Gada kopsavilkums'!$A$9:$F$27,3,FALSE)</f>
        <v>ROBERTS KRAUKLIS</v>
      </c>
      <c r="C11" s="50">
        <f>VLOOKUP($A11,'Gada kopsavilkums'!$A$9:$Y$27,21,FALSE)</f>
        <v>36.8</v>
      </c>
      <c r="D11" s="46">
        <f t="shared" si="0"/>
        <v>0</v>
      </c>
      <c r="E11" s="51">
        <f t="shared" si="1"/>
        <v>0</v>
      </c>
      <c r="F11" s="51">
        <f t="shared" si="2"/>
        <v>0</v>
      </c>
      <c r="G11" s="51">
        <f t="shared" si="3"/>
        <v>0</v>
      </c>
      <c r="H11" s="51">
        <f t="shared" si="4"/>
        <v>0</v>
      </c>
      <c r="I11" s="51">
        <f t="shared" si="5"/>
        <v>0</v>
      </c>
      <c r="J11" s="51">
        <f t="shared" si="6"/>
        <v>0</v>
      </c>
      <c r="K11" s="51">
        <f t="shared" si="7"/>
        <v>0</v>
      </c>
      <c r="L11" s="51">
        <f t="shared" si="8"/>
        <v>0</v>
      </c>
      <c r="M11" s="51">
        <f t="shared" si="9"/>
        <v>0</v>
      </c>
      <c r="N11" s="51">
        <f t="shared" si="10"/>
        <v>0</v>
      </c>
      <c r="O11" s="51">
        <f t="shared" si="11"/>
        <v>0</v>
      </c>
      <c r="P11" s="51">
        <f t="shared" si="12"/>
        <v>0</v>
      </c>
      <c r="Q11" s="51">
        <f t="shared" si="13"/>
        <v>0</v>
      </c>
      <c r="R11" s="51">
        <f t="shared" si="14"/>
        <v>0</v>
      </c>
      <c r="S11" s="51">
        <f t="shared" si="15"/>
        <v>0</v>
      </c>
      <c r="T11" s="51">
        <f t="shared" si="16"/>
        <v>0</v>
      </c>
      <c r="U11" s="51">
        <f t="shared" si="17"/>
        <v>0</v>
      </c>
      <c r="V11" s="51">
        <f t="shared" si="18"/>
        <v>0</v>
      </c>
      <c r="W11" s="51">
        <f t="shared" si="19"/>
        <v>0</v>
      </c>
      <c r="X11" s="46">
        <f t="shared" si="49" ref="X11:AP11">IF(E11&gt;0,RANK(E11,E$2:E$20),0)</f>
        <v>0</v>
      </c>
      <c r="Y11" s="46">
        <f t="shared" si="49"/>
        <v>0</v>
      </c>
      <c r="Z11" s="46">
        <f t="shared" si="49"/>
        <v>0</v>
      </c>
      <c r="AA11" s="46">
        <f t="shared" si="49"/>
        <v>0</v>
      </c>
      <c r="AB11" s="46">
        <f t="shared" si="49"/>
        <v>0</v>
      </c>
      <c r="AC11" s="46">
        <f t="shared" si="49"/>
        <v>0</v>
      </c>
      <c r="AD11" s="46">
        <f t="shared" si="49"/>
        <v>0</v>
      </c>
      <c r="AE11" s="46">
        <f t="shared" si="49"/>
        <v>0</v>
      </c>
      <c r="AF11" s="46">
        <f t="shared" si="49"/>
        <v>0</v>
      </c>
      <c r="AG11" s="46">
        <f t="shared" si="49"/>
        <v>0</v>
      </c>
      <c r="AH11" s="46">
        <f t="shared" si="49"/>
        <v>0</v>
      </c>
      <c r="AI11" s="46">
        <f t="shared" si="49"/>
        <v>0</v>
      </c>
      <c r="AJ11" s="46">
        <f t="shared" si="49"/>
        <v>0</v>
      </c>
      <c r="AK11" s="46">
        <f t="shared" si="49"/>
        <v>0</v>
      </c>
      <c r="AL11" s="46">
        <f t="shared" si="49"/>
        <v>0</v>
      </c>
      <c r="AM11" s="46">
        <f t="shared" si="49"/>
        <v>0</v>
      </c>
      <c r="AN11" s="46">
        <f t="shared" si="49"/>
        <v>0</v>
      </c>
      <c r="AO11" s="46">
        <f t="shared" si="49"/>
        <v>0</v>
      </c>
      <c r="AP11" s="46">
        <f t="shared" si="49"/>
        <v>0</v>
      </c>
      <c r="AQ11" s="52">
        <f t="shared" si="21"/>
        <v>0</v>
      </c>
      <c r="AR11" s="52">
        <f t="shared" si="22"/>
        <v>0</v>
      </c>
      <c r="AS11" s="52">
        <f t="shared" si="23"/>
        <v>0</v>
      </c>
      <c r="AT11" s="52">
        <f t="shared" si="24"/>
        <v>0</v>
      </c>
      <c r="AU11" s="52">
        <f t="shared" si="25"/>
        <v>0</v>
      </c>
      <c r="AV11" s="52">
        <f t="shared" si="26"/>
        <v>0</v>
      </c>
      <c r="AW11" s="52">
        <f t="shared" si="27"/>
        <v>0</v>
      </c>
      <c r="AX11" s="52">
        <f t="shared" si="28"/>
        <v>0</v>
      </c>
      <c r="AY11" s="52">
        <f t="shared" si="29"/>
        <v>0</v>
      </c>
      <c r="AZ11" s="52">
        <f t="shared" si="30"/>
        <v>0</v>
      </c>
      <c r="BA11" s="52">
        <f t="shared" si="31"/>
        <v>0</v>
      </c>
      <c r="BB11" s="52">
        <f t="shared" si="32"/>
        <v>0</v>
      </c>
      <c r="BC11" s="52">
        <f t="shared" si="33"/>
        <v>0</v>
      </c>
      <c r="BD11" s="52">
        <f t="shared" si="34"/>
        <v>0</v>
      </c>
      <c r="BE11" s="52">
        <f t="shared" si="35"/>
        <v>0</v>
      </c>
      <c r="BF11" s="52">
        <f t="shared" si="36"/>
        <v>0</v>
      </c>
      <c r="BG11" s="52">
        <f t="shared" si="37"/>
        <v>0</v>
      </c>
      <c r="BH11" s="52">
        <f t="shared" si="38"/>
        <v>0</v>
      </c>
      <c r="BI11" s="52">
        <f t="shared" si="39"/>
        <v>0</v>
      </c>
    </row>
    <row r="12" spans="1:61" ht="14.25" customHeight="1">
      <c r="A12" s="48" t="s">
        <v>31</v>
      </c>
      <c r="B12" s="49" t="str">
        <f>VLOOKUP($A12,'Gada kopsavilkums'!$A$9:$F$27,3,FALSE)</f>
        <v>JĀNIS PRIEDĪTIS</v>
      </c>
      <c r="C12" s="50">
        <f>VLOOKUP($A12,'Gada kopsavilkums'!$A$9:$Y$27,21,FALSE)</f>
        <v>74.04999999999998</v>
      </c>
      <c r="D12" s="46">
        <f t="shared" si="0"/>
        <v>0</v>
      </c>
      <c r="E12" s="51">
        <f t="shared" si="1"/>
        <v>0</v>
      </c>
      <c r="F12" s="51">
        <f t="shared" si="2"/>
        <v>0</v>
      </c>
      <c r="G12" s="51">
        <f t="shared" si="3"/>
        <v>0</v>
      </c>
      <c r="H12" s="51">
        <f t="shared" si="4"/>
        <v>0</v>
      </c>
      <c r="I12" s="51">
        <f t="shared" si="5"/>
        <v>0</v>
      </c>
      <c r="J12" s="51">
        <f t="shared" si="6"/>
        <v>0</v>
      </c>
      <c r="K12" s="51">
        <f t="shared" si="7"/>
        <v>0</v>
      </c>
      <c r="L12" s="51">
        <f t="shared" si="8"/>
        <v>0</v>
      </c>
      <c r="M12" s="51">
        <f t="shared" si="9"/>
        <v>0</v>
      </c>
      <c r="N12" s="51">
        <f t="shared" si="10"/>
        <v>0</v>
      </c>
      <c r="O12" s="51">
        <f t="shared" si="11"/>
        <v>0</v>
      </c>
      <c r="P12" s="51">
        <f t="shared" si="12"/>
        <v>0</v>
      </c>
      <c r="Q12" s="51">
        <f t="shared" si="13"/>
        <v>0</v>
      </c>
      <c r="R12" s="51">
        <f t="shared" si="14"/>
        <v>0</v>
      </c>
      <c r="S12" s="51">
        <f t="shared" si="15"/>
        <v>0</v>
      </c>
      <c r="T12" s="51">
        <f t="shared" si="16"/>
        <v>0</v>
      </c>
      <c r="U12" s="51">
        <f t="shared" si="17"/>
        <v>0</v>
      </c>
      <c r="V12" s="51">
        <f t="shared" si="18"/>
        <v>0</v>
      </c>
      <c r="W12" s="51">
        <f t="shared" si="19"/>
        <v>0</v>
      </c>
      <c r="X12" s="46">
        <f t="shared" si="50" ref="X12:AP12">IF(E12&gt;0,RANK(E12,E$2:E$20),0)</f>
        <v>0</v>
      </c>
      <c r="Y12" s="46">
        <f t="shared" si="50"/>
        <v>0</v>
      </c>
      <c r="Z12" s="46">
        <f t="shared" si="50"/>
        <v>0</v>
      </c>
      <c r="AA12" s="46">
        <f t="shared" si="50"/>
        <v>0</v>
      </c>
      <c r="AB12" s="46">
        <f t="shared" si="50"/>
        <v>0</v>
      </c>
      <c r="AC12" s="46">
        <f t="shared" si="50"/>
        <v>0</v>
      </c>
      <c r="AD12" s="46">
        <f t="shared" si="50"/>
        <v>0</v>
      </c>
      <c r="AE12" s="46">
        <f t="shared" si="50"/>
        <v>0</v>
      </c>
      <c r="AF12" s="46">
        <f t="shared" si="50"/>
        <v>0</v>
      </c>
      <c r="AG12" s="46">
        <f t="shared" si="50"/>
        <v>0</v>
      </c>
      <c r="AH12" s="46">
        <f t="shared" si="50"/>
        <v>0</v>
      </c>
      <c r="AI12" s="46">
        <f t="shared" si="50"/>
        <v>0</v>
      </c>
      <c r="AJ12" s="46">
        <f t="shared" si="50"/>
        <v>0</v>
      </c>
      <c r="AK12" s="46">
        <f t="shared" si="50"/>
        <v>0</v>
      </c>
      <c r="AL12" s="46">
        <f t="shared" si="50"/>
        <v>0</v>
      </c>
      <c r="AM12" s="46">
        <f t="shared" si="50"/>
        <v>0</v>
      </c>
      <c r="AN12" s="46">
        <f t="shared" si="50"/>
        <v>0</v>
      </c>
      <c r="AO12" s="46">
        <f t="shared" si="50"/>
        <v>0</v>
      </c>
      <c r="AP12" s="46">
        <f t="shared" si="50"/>
        <v>0</v>
      </c>
      <c r="AQ12" s="52">
        <f t="shared" si="21"/>
        <v>0</v>
      </c>
      <c r="AR12" s="52">
        <f t="shared" si="22"/>
        <v>0</v>
      </c>
      <c r="AS12" s="52">
        <f t="shared" si="23"/>
        <v>0</v>
      </c>
      <c r="AT12" s="52">
        <f t="shared" si="24"/>
        <v>0</v>
      </c>
      <c r="AU12" s="52">
        <f t="shared" si="25"/>
        <v>0</v>
      </c>
      <c r="AV12" s="52">
        <f t="shared" si="26"/>
        <v>0</v>
      </c>
      <c r="AW12" s="52">
        <f t="shared" si="27"/>
        <v>0</v>
      </c>
      <c r="AX12" s="52">
        <f t="shared" si="28"/>
        <v>0</v>
      </c>
      <c r="AY12" s="52">
        <f t="shared" si="29"/>
        <v>0</v>
      </c>
      <c r="AZ12" s="52">
        <f t="shared" si="30"/>
        <v>0</v>
      </c>
      <c r="BA12" s="52">
        <f t="shared" si="31"/>
        <v>0</v>
      </c>
      <c r="BB12" s="52">
        <f t="shared" si="32"/>
        <v>0</v>
      </c>
      <c r="BC12" s="52">
        <f t="shared" si="33"/>
        <v>0</v>
      </c>
      <c r="BD12" s="52">
        <f t="shared" si="34"/>
        <v>0</v>
      </c>
      <c r="BE12" s="52">
        <f t="shared" si="35"/>
        <v>0</v>
      </c>
      <c r="BF12" s="52">
        <f t="shared" si="36"/>
        <v>0</v>
      </c>
      <c r="BG12" s="52">
        <f t="shared" si="37"/>
        <v>0</v>
      </c>
      <c r="BH12" s="52">
        <f t="shared" si="38"/>
        <v>0</v>
      </c>
      <c r="BI12" s="52">
        <f t="shared" si="39"/>
        <v>0</v>
      </c>
    </row>
    <row r="13" spans="1:61" ht="14.25" customHeight="1">
      <c r="A13" s="48" t="s">
        <v>15</v>
      </c>
      <c r="B13" s="49" t="str">
        <f>VLOOKUP($A13,'Gada kopsavilkums'!$A$9:$F$27,3,FALSE)</f>
        <v>GATIS OZOLIŅŠ</v>
      </c>
      <c r="C13" s="50">
        <f>VLOOKUP($A13,'Gada kopsavilkums'!$A$9:$Y$27,21,FALSE)</f>
        <v>103.82499999999999</v>
      </c>
      <c r="D13" s="46">
        <f t="shared" si="0"/>
        <v>0</v>
      </c>
      <c r="E13" s="51">
        <f t="shared" si="1"/>
        <v>0</v>
      </c>
      <c r="F13" s="51">
        <f t="shared" si="2"/>
        <v>0</v>
      </c>
      <c r="G13" s="51">
        <f t="shared" si="3"/>
        <v>0</v>
      </c>
      <c r="H13" s="51">
        <f t="shared" si="4"/>
        <v>0</v>
      </c>
      <c r="I13" s="51">
        <f t="shared" si="5"/>
        <v>0</v>
      </c>
      <c r="J13" s="51">
        <f t="shared" si="6"/>
        <v>0</v>
      </c>
      <c r="K13" s="51">
        <f t="shared" si="7"/>
        <v>0</v>
      </c>
      <c r="L13" s="51">
        <f t="shared" si="8"/>
        <v>0</v>
      </c>
      <c r="M13" s="51">
        <f t="shared" si="9"/>
        <v>0</v>
      </c>
      <c r="N13" s="51">
        <f t="shared" si="10"/>
        <v>0</v>
      </c>
      <c r="O13" s="51">
        <f t="shared" si="11"/>
        <v>0</v>
      </c>
      <c r="P13" s="51">
        <f t="shared" si="12"/>
        <v>0</v>
      </c>
      <c r="Q13" s="51">
        <f t="shared" si="13"/>
        <v>0</v>
      </c>
      <c r="R13" s="51">
        <f t="shared" si="14"/>
        <v>0</v>
      </c>
      <c r="S13" s="51">
        <f t="shared" si="15"/>
        <v>0</v>
      </c>
      <c r="T13" s="51">
        <f t="shared" si="16"/>
        <v>0</v>
      </c>
      <c r="U13" s="51">
        <f t="shared" si="17"/>
        <v>0</v>
      </c>
      <c r="V13" s="51">
        <f t="shared" si="18"/>
        <v>0</v>
      </c>
      <c r="W13" s="51">
        <f t="shared" si="19"/>
        <v>0</v>
      </c>
      <c r="X13" s="46">
        <f t="shared" si="51" ref="X13:AP13">IF(E13&gt;0,RANK(E13,E$2:E$20),0)</f>
        <v>0</v>
      </c>
      <c r="Y13" s="46">
        <f t="shared" si="51"/>
        <v>0</v>
      </c>
      <c r="Z13" s="46">
        <f t="shared" si="51"/>
        <v>0</v>
      </c>
      <c r="AA13" s="46">
        <f t="shared" si="51"/>
        <v>0</v>
      </c>
      <c r="AB13" s="46">
        <f t="shared" si="51"/>
        <v>0</v>
      </c>
      <c r="AC13" s="46">
        <f t="shared" si="51"/>
        <v>0</v>
      </c>
      <c r="AD13" s="46">
        <f t="shared" si="51"/>
        <v>0</v>
      </c>
      <c r="AE13" s="46">
        <f t="shared" si="51"/>
        <v>0</v>
      </c>
      <c r="AF13" s="46">
        <f t="shared" si="51"/>
        <v>0</v>
      </c>
      <c r="AG13" s="46">
        <f t="shared" si="51"/>
        <v>0</v>
      </c>
      <c r="AH13" s="46">
        <f t="shared" si="51"/>
        <v>0</v>
      </c>
      <c r="AI13" s="46">
        <f t="shared" si="51"/>
        <v>0</v>
      </c>
      <c r="AJ13" s="46">
        <f t="shared" si="51"/>
        <v>0</v>
      </c>
      <c r="AK13" s="46">
        <f t="shared" si="51"/>
        <v>0</v>
      </c>
      <c r="AL13" s="46">
        <f t="shared" si="51"/>
        <v>0</v>
      </c>
      <c r="AM13" s="46">
        <f t="shared" si="51"/>
        <v>0</v>
      </c>
      <c r="AN13" s="46">
        <f t="shared" si="51"/>
        <v>0</v>
      </c>
      <c r="AO13" s="46">
        <f t="shared" si="51"/>
        <v>0</v>
      </c>
      <c r="AP13" s="46">
        <f t="shared" si="51"/>
        <v>0</v>
      </c>
      <c r="AQ13" s="52">
        <f t="shared" si="21"/>
        <v>0</v>
      </c>
      <c r="AR13" s="52">
        <f t="shared" si="22"/>
        <v>0</v>
      </c>
      <c r="AS13" s="52">
        <f t="shared" si="23"/>
        <v>0</v>
      </c>
      <c r="AT13" s="52">
        <f t="shared" si="24"/>
        <v>0</v>
      </c>
      <c r="AU13" s="52">
        <f t="shared" si="25"/>
        <v>0</v>
      </c>
      <c r="AV13" s="52">
        <f t="shared" si="26"/>
        <v>0</v>
      </c>
      <c r="AW13" s="52">
        <f t="shared" si="27"/>
        <v>0</v>
      </c>
      <c r="AX13" s="52">
        <f t="shared" si="28"/>
        <v>0</v>
      </c>
      <c r="AY13" s="52">
        <f t="shared" si="29"/>
        <v>0</v>
      </c>
      <c r="AZ13" s="52">
        <f t="shared" si="30"/>
        <v>0</v>
      </c>
      <c r="BA13" s="52">
        <f t="shared" si="31"/>
        <v>0</v>
      </c>
      <c r="BB13" s="52">
        <f t="shared" si="32"/>
        <v>0</v>
      </c>
      <c r="BC13" s="52">
        <f t="shared" si="33"/>
        <v>0</v>
      </c>
      <c r="BD13" s="52">
        <f t="shared" si="34"/>
        <v>0</v>
      </c>
      <c r="BE13" s="52">
        <f t="shared" si="35"/>
        <v>0</v>
      </c>
      <c r="BF13" s="52">
        <f t="shared" si="36"/>
        <v>0</v>
      </c>
      <c r="BG13" s="52">
        <f t="shared" si="37"/>
        <v>0</v>
      </c>
      <c r="BH13" s="52">
        <f t="shared" si="38"/>
        <v>0</v>
      </c>
      <c r="BI13" s="52">
        <f t="shared" si="39"/>
        <v>0</v>
      </c>
    </row>
    <row r="14" spans="1:61" ht="14.25" customHeight="1">
      <c r="A14" s="48" t="s">
        <v>39</v>
      </c>
      <c r="B14" s="49" t="str">
        <f>VLOOKUP($A14,'Gada kopsavilkums'!$A$9:$F$27,3,FALSE)</f>
        <v>GUNTARS ĻEVČENOKS</v>
      </c>
      <c r="C14" s="50">
        <f>VLOOKUP($A14,'Gada kopsavilkums'!$A$9:$Y$27,21,FALSE)</f>
        <v>35.375</v>
      </c>
      <c r="D14" s="46">
        <f t="shared" si="0"/>
        <v>0</v>
      </c>
      <c r="E14" s="51">
        <f t="shared" si="1"/>
        <v>0</v>
      </c>
      <c r="F14" s="51">
        <f t="shared" si="2"/>
        <v>0</v>
      </c>
      <c r="G14" s="51">
        <f t="shared" si="3"/>
        <v>0</v>
      </c>
      <c r="H14" s="51">
        <f t="shared" si="4"/>
        <v>0</v>
      </c>
      <c r="I14" s="51">
        <f t="shared" si="5"/>
        <v>0</v>
      </c>
      <c r="J14" s="51">
        <f t="shared" si="6"/>
        <v>0</v>
      </c>
      <c r="K14" s="51">
        <f t="shared" si="7"/>
        <v>0</v>
      </c>
      <c r="L14" s="51">
        <f t="shared" si="8"/>
        <v>0</v>
      </c>
      <c r="M14" s="51">
        <f t="shared" si="9"/>
        <v>0</v>
      </c>
      <c r="N14" s="51">
        <f t="shared" si="10"/>
        <v>0</v>
      </c>
      <c r="O14" s="51">
        <f t="shared" si="11"/>
        <v>0</v>
      </c>
      <c r="P14" s="51">
        <f t="shared" si="12"/>
        <v>0</v>
      </c>
      <c r="Q14" s="51">
        <f t="shared" si="13"/>
        <v>0</v>
      </c>
      <c r="R14" s="51">
        <f t="shared" si="14"/>
        <v>0</v>
      </c>
      <c r="S14" s="51">
        <f t="shared" si="15"/>
        <v>0</v>
      </c>
      <c r="T14" s="51">
        <f t="shared" si="16"/>
        <v>0</v>
      </c>
      <c r="U14" s="51">
        <f t="shared" si="17"/>
        <v>0</v>
      </c>
      <c r="V14" s="51">
        <f t="shared" si="18"/>
        <v>0</v>
      </c>
      <c r="W14" s="51">
        <f t="shared" si="19"/>
        <v>0</v>
      </c>
      <c r="X14" s="46">
        <f t="shared" si="52" ref="X14:AP14">IF(E14&gt;0,RANK(E14,E$2:E$20),0)</f>
        <v>0</v>
      </c>
      <c r="Y14" s="46">
        <f t="shared" si="52"/>
        <v>0</v>
      </c>
      <c r="Z14" s="46">
        <f t="shared" si="52"/>
        <v>0</v>
      </c>
      <c r="AA14" s="46">
        <f t="shared" si="52"/>
        <v>0</v>
      </c>
      <c r="AB14" s="46">
        <f t="shared" si="52"/>
        <v>0</v>
      </c>
      <c r="AC14" s="46">
        <f t="shared" si="52"/>
        <v>0</v>
      </c>
      <c r="AD14" s="46">
        <f t="shared" si="52"/>
        <v>0</v>
      </c>
      <c r="AE14" s="46">
        <f t="shared" si="52"/>
        <v>0</v>
      </c>
      <c r="AF14" s="46">
        <f t="shared" si="52"/>
        <v>0</v>
      </c>
      <c r="AG14" s="46">
        <f t="shared" si="52"/>
        <v>0</v>
      </c>
      <c r="AH14" s="46">
        <f t="shared" si="52"/>
        <v>0</v>
      </c>
      <c r="AI14" s="46">
        <f t="shared" si="52"/>
        <v>0</v>
      </c>
      <c r="AJ14" s="46">
        <f t="shared" si="52"/>
        <v>0</v>
      </c>
      <c r="AK14" s="46">
        <f t="shared" si="52"/>
        <v>0</v>
      </c>
      <c r="AL14" s="46">
        <f t="shared" si="52"/>
        <v>0</v>
      </c>
      <c r="AM14" s="46">
        <f t="shared" si="52"/>
        <v>0</v>
      </c>
      <c r="AN14" s="46">
        <f t="shared" si="52"/>
        <v>0</v>
      </c>
      <c r="AO14" s="46">
        <f t="shared" si="52"/>
        <v>0</v>
      </c>
      <c r="AP14" s="46">
        <f t="shared" si="52"/>
        <v>0</v>
      </c>
      <c r="AQ14" s="52">
        <f t="shared" si="21"/>
        <v>0</v>
      </c>
      <c r="AR14" s="52">
        <f t="shared" si="22"/>
        <v>0</v>
      </c>
      <c r="AS14" s="52">
        <f t="shared" si="23"/>
        <v>0</v>
      </c>
      <c r="AT14" s="52">
        <f t="shared" si="24"/>
        <v>0</v>
      </c>
      <c r="AU14" s="52">
        <f t="shared" si="25"/>
        <v>0</v>
      </c>
      <c r="AV14" s="52">
        <f t="shared" si="26"/>
        <v>0</v>
      </c>
      <c r="AW14" s="52">
        <f t="shared" si="27"/>
        <v>0</v>
      </c>
      <c r="AX14" s="52">
        <f t="shared" si="28"/>
        <v>0</v>
      </c>
      <c r="AY14" s="52">
        <f t="shared" si="29"/>
        <v>0</v>
      </c>
      <c r="AZ14" s="52">
        <f t="shared" si="30"/>
        <v>0</v>
      </c>
      <c r="BA14" s="52">
        <f t="shared" si="31"/>
        <v>0</v>
      </c>
      <c r="BB14" s="52">
        <f t="shared" si="32"/>
        <v>0</v>
      </c>
      <c r="BC14" s="52">
        <f t="shared" si="33"/>
        <v>0</v>
      </c>
      <c r="BD14" s="52">
        <f t="shared" si="34"/>
        <v>0</v>
      </c>
      <c r="BE14" s="52">
        <f t="shared" si="35"/>
        <v>0</v>
      </c>
      <c r="BF14" s="52">
        <f t="shared" si="36"/>
        <v>0</v>
      </c>
      <c r="BG14" s="52">
        <f t="shared" si="37"/>
        <v>0</v>
      </c>
      <c r="BH14" s="52">
        <f t="shared" si="38"/>
        <v>0</v>
      </c>
      <c r="BI14" s="52">
        <f t="shared" si="39"/>
        <v>0</v>
      </c>
    </row>
    <row r="15" spans="1:61" ht="14.25" customHeight="1">
      <c r="A15" s="54" t="s">
        <v>29</v>
      </c>
      <c r="B15" s="49" t="str">
        <f>VLOOKUP($A15,'Gada kopsavilkums'!$A$9:$F$27,3,FALSE)</f>
        <v>KRISTERS BRANTS</v>
      </c>
      <c r="C15" s="50">
        <f>VLOOKUP($A15,'Gada kopsavilkums'!$A$9:$Y$27,21,FALSE)</f>
        <v>97.675</v>
      </c>
      <c r="D15" s="46">
        <f t="shared" si="0"/>
        <v>0</v>
      </c>
      <c r="E15" s="51">
        <f t="shared" si="1"/>
        <v>0</v>
      </c>
      <c r="F15" s="51">
        <f t="shared" si="2"/>
        <v>0</v>
      </c>
      <c r="G15" s="51">
        <f t="shared" si="3"/>
        <v>0</v>
      </c>
      <c r="H15" s="51">
        <f t="shared" si="4"/>
        <v>0</v>
      </c>
      <c r="I15" s="51">
        <f t="shared" si="5"/>
        <v>0</v>
      </c>
      <c r="J15" s="51">
        <f t="shared" si="6"/>
        <v>0</v>
      </c>
      <c r="K15" s="51">
        <f t="shared" si="7"/>
        <v>0</v>
      </c>
      <c r="L15" s="51">
        <f t="shared" si="8"/>
        <v>0</v>
      </c>
      <c r="M15" s="51">
        <f t="shared" si="9"/>
        <v>0</v>
      </c>
      <c r="N15" s="51">
        <f t="shared" si="10"/>
        <v>0</v>
      </c>
      <c r="O15" s="51">
        <f t="shared" si="11"/>
        <v>0</v>
      </c>
      <c r="P15" s="51">
        <f t="shared" si="12"/>
        <v>0</v>
      </c>
      <c r="Q15" s="51">
        <f t="shared" si="13"/>
        <v>0</v>
      </c>
      <c r="R15" s="51">
        <f t="shared" si="14"/>
        <v>0</v>
      </c>
      <c r="S15" s="51">
        <f t="shared" si="15"/>
        <v>0</v>
      </c>
      <c r="T15" s="51">
        <f t="shared" si="16"/>
        <v>0</v>
      </c>
      <c r="U15" s="51">
        <f t="shared" si="17"/>
        <v>0</v>
      </c>
      <c r="V15" s="51">
        <f t="shared" si="18"/>
        <v>0</v>
      </c>
      <c r="W15" s="51">
        <f t="shared" si="19"/>
        <v>0</v>
      </c>
      <c r="X15" s="46">
        <f t="shared" si="53" ref="X15:AP15">IF(E15&gt;0,RANK(E15,E$2:E$20),0)</f>
        <v>0</v>
      </c>
      <c r="Y15" s="46">
        <f t="shared" si="53"/>
        <v>0</v>
      </c>
      <c r="Z15" s="46">
        <f t="shared" si="53"/>
        <v>0</v>
      </c>
      <c r="AA15" s="46">
        <f t="shared" si="53"/>
        <v>0</v>
      </c>
      <c r="AB15" s="46">
        <f t="shared" si="53"/>
        <v>0</v>
      </c>
      <c r="AC15" s="46">
        <f t="shared" si="53"/>
        <v>0</v>
      </c>
      <c r="AD15" s="46">
        <f t="shared" si="53"/>
        <v>0</v>
      </c>
      <c r="AE15" s="46">
        <f t="shared" si="53"/>
        <v>0</v>
      </c>
      <c r="AF15" s="46">
        <f t="shared" si="53"/>
        <v>0</v>
      </c>
      <c r="AG15" s="46">
        <f t="shared" si="53"/>
        <v>0</v>
      </c>
      <c r="AH15" s="46">
        <f t="shared" si="53"/>
        <v>0</v>
      </c>
      <c r="AI15" s="46">
        <f t="shared" si="53"/>
        <v>0</v>
      </c>
      <c r="AJ15" s="46">
        <f t="shared" si="53"/>
        <v>0</v>
      </c>
      <c r="AK15" s="46">
        <f t="shared" si="53"/>
        <v>0</v>
      </c>
      <c r="AL15" s="46">
        <f t="shared" si="53"/>
        <v>0</v>
      </c>
      <c r="AM15" s="46">
        <f t="shared" si="53"/>
        <v>0</v>
      </c>
      <c r="AN15" s="46">
        <f t="shared" si="53"/>
        <v>0</v>
      </c>
      <c r="AO15" s="46">
        <f t="shared" si="53"/>
        <v>0</v>
      </c>
      <c r="AP15" s="46">
        <f t="shared" si="53"/>
        <v>0</v>
      </c>
      <c r="AQ15" s="52">
        <f t="shared" si="21"/>
        <v>0</v>
      </c>
      <c r="AR15" s="52">
        <f t="shared" si="22"/>
        <v>0</v>
      </c>
      <c r="AS15" s="52">
        <f t="shared" si="23"/>
        <v>0</v>
      </c>
      <c r="AT15" s="52">
        <f t="shared" si="24"/>
        <v>0</v>
      </c>
      <c r="AU15" s="52">
        <f t="shared" si="25"/>
        <v>0</v>
      </c>
      <c r="AV15" s="52">
        <f t="shared" si="26"/>
        <v>0</v>
      </c>
      <c r="AW15" s="52">
        <f t="shared" si="27"/>
        <v>0</v>
      </c>
      <c r="AX15" s="52">
        <f t="shared" si="28"/>
        <v>0</v>
      </c>
      <c r="AY15" s="52">
        <f t="shared" si="29"/>
        <v>0</v>
      </c>
      <c r="AZ15" s="52">
        <f t="shared" si="30"/>
        <v>0</v>
      </c>
      <c r="BA15" s="52">
        <f t="shared" si="31"/>
        <v>0</v>
      </c>
      <c r="BB15" s="52">
        <f t="shared" si="32"/>
        <v>0</v>
      </c>
      <c r="BC15" s="52">
        <f t="shared" si="33"/>
        <v>0</v>
      </c>
      <c r="BD15" s="52">
        <f t="shared" si="34"/>
        <v>0</v>
      </c>
      <c r="BE15" s="52">
        <f t="shared" si="35"/>
        <v>0</v>
      </c>
      <c r="BF15" s="52">
        <f t="shared" si="36"/>
        <v>0</v>
      </c>
      <c r="BG15" s="52">
        <f t="shared" si="37"/>
        <v>0</v>
      </c>
      <c r="BH15" s="52">
        <f t="shared" si="38"/>
        <v>0</v>
      </c>
      <c r="BI15" s="52">
        <f t="shared" si="39"/>
        <v>0</v>
      </c>
    </row>
    <row r="16" spans="1:61" ht="14.25" customHeight="1">
      <c r="A16" s="48" t="s">
        <v>35</v>
      </c>
      <c r="B16" s="49" t="str">
        <f>VLOOKUP($A16,'Gada kopsavilkums'!$A$9:$F$27,3,FALSE)</f>
        <v>TOMS GAIGALNIEKS</v>
      </c>
      <c r="C16" s="50">
        <f>VLOOKUP($A16,'Gada kopsavilkums'!$A$9:$Y$27,21,FALSE)</f>
        <v>120.125</v>
      </c>
      <c r="D16" s="46">
        <f t="shared" si="0"/>
        <v>0</v>
      </c>
      <c r="E16" s="51">
        <f t="shared" si="1"/>
        <v>0</v>
      </c>
      <c r="F16" s="51">
        <f t="shared" si="2"/>
        <v>0</v>
      </c>
      <c r="G16" s="51">
        <f t="shared" si="3"/>
        <v>0</v>
      </c>
      <c r="H16" s="51">
        <f t="shared" si="4"/>
        <v>0</v>
      </c>
      <c r="I16" s="51">
        <f t="shared" si="5"/>
        <v>0</v>
      </c>
      <c r="J16" s="51">
        <f t="shared" si="6"/>
        <v>0</v>
      </c>
      <c r="K16" s="51">
        <f t="shared" si="7"/>
        <v>0</v>
      </c>
      <c r="L16" s="51">
        <f t="shared" si="8"/>
        <v>0</v>
      </c>
      <c r="M16" s="51">
        <f t="shared" si="9"/>
        <v>0</v>
      </c>
      <c r="N16" s="51">
        <f t="shared" si="10"/>
        <v>0</v>
      </c>
      <c r="O16" s="51">
        <f t="shared" si="11"/>
        <v>0</v>
      </c>
      <c r="P16" s="51">
        <f t="shared" si="12"/>
        <v>0</v>
      </c>
      <c r="Q16" s="51">
        <f t="shared" si="13"/>
        <v>0</v>
      </c>
      <c r="R16" s="51">
        <f t="shared" si="14"/>
        <v>0</v>
      </c>
      <c r="S16" s="51">
        <f t="shared" si="15"/>
        <v>0</v>
      </c>
      <c r="T16" s="51">
        <f t="shared" si="16"/>
        <v>0</v>
      </c>
      <c r="U16" s="51">
        <f t="shared" si="17"/>
        <v>0</v>
      </c>
      <c r="V16" s="51">
        <f t="shared" si="18"/>
        <v>0</v>
      </c>
      <c r="W16" s="51">
        <f t="shared" si="19"/>
        <v>0</v>
      </c>
      <c r="X16" s="46">
        <f t="shared" si="54" ref="X16:AP16">IF(E16&gt;0,RANK(E16,E$2:E$20),0)</f>
        <v>0</v>
      </c>
      <c r="Y16" s="46">
        <f t="shared" si="54"/>
        <v>0</v>
      </c>
      <c r="Z16" s="46">
        <f t="shared" si="54"/>
        <v>0</v>
      </c>
      <c r="AA16" s="46">
        <f t="shared" si="54"/>
        <v>0</v>
      </c>
      <c r="AB16" s="46">
        <f t="shared" si="54"/>
        <v>0</v>
      </c>
      <c r="AC16" s="46">
        <f t="shared" si="54"/>
        <v>0</v>
      </c>
      <c r="AD16" s="46">
        <f t="shared" si="54"/>
        <v>0</v>
      </c>
      <c r="AE16" s="46">
        <f t="shared" si="54"/>
        <v>0</v>
      </c>
      <c r="AF16" s="46">
        <f t="shared" si="54"/>
        <v>0</v>
      </c>
      <c r="AG16" s="46">
        <f t="shared" si="54"/>
        <v>0</v>
      </c>
      <c r="AH16" s="46">
        <f t="shared" si="54"/>
        <v>0</v>
      </c>
      <c r="AI16" s="46">
        <f t="shared" si="54"/>
        <v>0</v>
      </c>
      <c r="AJ16" s="46">
        <f t="shared" si="54"/>
        <v>0</v>
      </c>
      <c r="AK16" s="46">
        <f t="shared" si="54"/>
        <v>0</v>
      </c>
      <c r="AL16" s="46">
        <f t="shared" si="54"/>
        <v>0</v>
      </c>
      <c r="AM16" s="46">
        <f t="shared" si="54"/>
        <v>0</v>
      </c>
      <c r="AN16" s="46">
        <f t="shared" si="54"/>
        <v>0</v>
      </c>
      <c r="AO16" s="46">
        <f t="shared" si="54"/>
        <v>0</v>
      </c>
      <c r="AP16" s="46">
        <f t="shared" si="54"/>
        <v>0</v>
      </c>
      <c r="AQ16" s="52">
        <f t="shared" si="21"/>
        <v>0</v>
      </c>
      <c r="AR16" s="52">
        <f t="shared" si="22"/>
        <v>0</v>
      </c>
      <c r="AS16" s="52">
        <f t="shared" si="23"/>
        <v>0</v>
      </c>
      <c r="AT16" s="52">
        <f t="shared" si="24"/>
        <v>0</v>
      </c>
      <c r="AU16" s="52">
        <f t="shared" si="25"/>
        <v>0</v>
      </c>
      <c r="AV16" s="52">
        <f t="shared" si="26"/>
        <v>0</v>
      </c>
      <c r="AW16" s="52">
        <f t="shared" si="27"/>
        <v>0</v>
      </c>
      <c r="AX16" s="52">
        <f t="shared" si="28"/>
        <v>0</v>
      </c>
      <c r="AY16" s="52">
        <f t="shared" si="29"/>
        <v>0</v>
      </c>
      <c r="AZ16" s="52">
        <f t="shared" si="30"/>
        <v>0</v>
      </c>
      <c r="BA16" s="52">
        <f t="shared" si="31"/>
        <v>0</v>
      </c>
      <c r="BB16" s="52">
        <f t="shared" si="32"/>
        <v>0</v>
      </c>
      <c r="BC16" s="52">
        <f t="shared" si="33"/>
        <v>0</v>
      </c>
      <c r="BD16" s="52">
        <f t="shared" si="34"/>
        <v>0</v>
      </c>
      <c r="BE16" s="52">
        <f t="shared" si="35"/>
        <v>0</v>
      </c>
      <c r="BF16" s="52">
        <f t="shared" si="36"/>
        <v>0</v>
      </c>
      <c r="BG16" s="52">
        <f t="shared" si="37"/>
        <v>0</v>
      </c>
      <c r="BH16" s="52">
        <f t="shared" si="38"/>
        <v>0</v>
      </c>
      <c r="BI16" s="52">
        <f t="shared" si="39"/>
        <v>0</v>
      </c>
    </row>
    <row r="17" spans="1:61" ht="14.25" customHeight="1">
      <c r="A17" s="48" t="s">
        <v>18</v>
      </c>
      <c r="B17" s="49" t="str">
        <f>VLOOKUP($A17,'Gada kopsavilkums'!$A$9:$F$27,3,FALSE)</f>
        <v>EVLĪNA RUDZĪTE</v>
      </c>
      <c r="C17" s="50">
        <f>VLOOKUP($A17,'Gada kopsavilkums'!$A$9:$Y$27,21,FALSE)</f>
        <v>12.45</v>
      </c>
      <c r="D17" s="46">
        <f t="shared" si="0"/>
        <v>0</v>
      </c>
      <c r="E17" s="51">
        <f t="shared" si="1"/>
        <v>0</v>
      </c>
      <c r="F17" s="51">
        <f t="shared" si="2"/>
        <v>0</v>
      </c>
      <c r="G17" s="51">
        <f t="shared" si="3"/>
        <v>0</v>
      </c>
      <c r="H17" s="51">
        <f t="shared" si="4"/>
        <v>0</v>
      </c>
      <c r="I17" s="51">
        <f t="shared" si="5"/>
        <v>0</v>
      </c>
      <c r="J17" s="51">
        <f t="shared" si="6"/>
        <v>0</v>
      </c>
      <c r="K17" s="51">
        <f t="shared" si="7"/>
        <v>0</v>
      </c>
      <c r="L17" s="51">
        <f t="shared" si="8"/>
        <v>0</v>
      </c>
      <c r="M17" s="51">
        <f t="shared" si="9"/>
        <v>0</v>
      </c>
      <c r="N17" s="51">
        <f t="shared" si="10"/>
        <v>0</v>
      </c>
      <c r="O17" s="51">
        <f t="shared" si="11"/>
        <v>0</v>
      </c>
      <c r="P17" s="51">
        <f t="shared" si="12"/>
        <v>0</v>
      </c>
      <c r="Q17" s="51">
        <f t="shared" si="13"/>
        <v>0</v>
      </c>
      <c r="R17" s="51">
        <f t="shared" si="14"/>
        <v>0</v>
      </c>
      <c r="S17" s="51">
        <f t="shared" si="15"/>
        <v>0</v>
      </c>
      <c r="T17" s="51">
        <f t="shared" si="16"/>
        <v>0</v>
      </c>
      <c r="U17" s="51">
        <f t="shared" si="17"/>
        <v>0</v>
      </c>
      <c r="V17" s="51">
        <f t="shared" si="18"/>
        <v>0</v>
      </c>
      <c r="W17" s="51">
        <f t="shared" si="19"/>
        <v>0</v>
      </c>
      <c r="X17" s="46">
        <f t="shared" si="55" ref="X17:AP17">IF(E17&gt;0,RANK(E17,E$2:E$20),0)</f>
        <v>0</v>
      </c>
      <c r="Y17" s="46">
        <f t="shared" si="55"/>
        <v>0</v>
      </c>
      <c r="Z17" s="46">
        <f t="shared" si="55"/>
        <v>0</v>
      </c>
      <c r="AA17" s="46">
        <f t="shared" si="55"/>
        <v>0</v>
      </c>
      <c r="AB17" s="46">
        <f t="shared" si="55"/>
        <v>0</v>
      </c>
      <c r="AC17" s="46">
        <f t="shared" si="55"/>
        <v>0</v>
      </c>
      <c r="AD17" s="46">
        <f t="shared" si="55"/>
        <v>0</v>
      </c>
      <c r="AE17" s="46">
        <f t="shared" si="55"/>
        <v>0</v>
      </c>
      <c r="AF17" s="46">
        <f t="shared" si="55"/>
        <v>0</v>
      </c>
      <c r="AG17" s="46">
        <f t="shared" si="55"/>
        <v>0</v>
      </c>
      <c r="AH17" s="46">
        <f t="shared" si="55"/>
        <v>0</v>
      </c>
      <c r="AI17" s="46">
        <f t="shared" si="55"/>
        <v>0</v>
      </c>
      <c r="AJ17" s="46">
        <f t="shared" si="55"/>
        <v>0</v>
      </c>
      <c r="AK17" s="46">
        <f t="shared" si="55"/>
        <v>0</v>
      </c>
      <c r="AL17" s="46">
        <f t="shared" si="55"/>
        <v>0</v>
      </c>
      <c r="AM17" s="46">
        <f t="shared" si="55"/>
        <v>0</v>
      </c>
      <c r="AN17" s="46">
        <f t="shared" si="55"/>
        <v>0</v>
      </c>
      <c r="AO17" s="46">
        <f t="shared" si="55"/>
        <v>0</v>
      </c>
      <c r="AP17" s="46">
        <f t="shared" si="55"/>
        <v>0</v>
      </c>
      <c r="AQ17" s="52">
        <f t="shared" si="21"/>
        <v>0</v>
      </c>
      <c r="AR17" s="52">
        <f t="shared" si="22"/>
        <v>0</v>
      </c>
      <c r="AS17" s="52">
        <f t="shared" si="23"/>
        <v>0</v>
      </c>
      <c r="AT17" s="52">
        <f t="shared" si="24"/>
        <v>0</v>
      </c>
      <c r="AU17" s="52">
        <f t="shared" si="25"/>
        <v>0</v>
      </c>
      <c r="AV17" s="52">
        <f t="shared" si="26"/>
        <v>0</v>
      </c>
      <c r="AW17" s="52">
        <f t="shared" si="27"/>
        <v>0</v>
      </c>
      <c r="AX17" s="52">
        <f t="shared" si="28"/>
        <v>0</v>
      </c>
      <c r="AY17" s="52">
        <f t="shared" si="29"/>
        <v>0</v>
      </c>
      <c r="AZ17" s="52">
        <f t="shared" si="30"/>
        <v>0</v>
      </c>
      <c r="BA17" s="52">
        <f t="shared" si="31"/>
        <v>0</v>
      </c>
      <c r="BB17" s="52">
        <f t="shared" si="32"/>
        <v>0</v>
      </c>
      <c r="BC17" s="52">
        <f t="shared" si="33"/>
        <v>0</v>
      </c>
      <c r="BD17" s="52">
        <f t="shared" si="34"/>
        <v>0</v>
      </c>
      <c r="BE17" s="52">
        <f t="shared" si="35"/>
        <v>0</v>
      </c>
      <c r="BF17" s="52">
        <f t="shared" si="36"/>
        <v>0</v>
      </c>
      <c r="BG17" s="52">
        <f t="shared" si="37"/>
        <v>0</v>
      </c>
      <c r="BH17" s="52">
        <f t="shared" si="38"/>
        <v>0</v>
      </c>
      <c r="BI17" s="52">
        <f t="shared" si="39"/>
        <v>0</v>
      </c>
    </row>
    <row r="18" spans="1:61" ht="14.25" customHeight="1">
      <c r="A18" s="48" t="s">
        <v>14</v>
      </c>
      <c r="B18" s="49" t="str">
        <f>VLOOKUP($A18,'Gada kopsavilkums'!$A$9:$F$27,3,FALSE)</f>
        <v>UĢIS GRIŠĀNS</v>
      </c>
      <c r="C18" s="50">
        <f>VLOOKUP($A18,'Gada kopsavilkums'!$A$9:$Y$27,21,FALSE)</f>
        <v>121.55</v>
      </c>
      <c r="D18" s="46">
        <f t="shared" si="0"/>
        <v>0</v>
      </c>
      <c r="E18" s="51">
        <f t="shared" si="1"/>
        <v>0</v>
      </c>
      <c r="F18" s="51">
        <f t="shared" si="2"/>
        <v>0</v>
      </c>
      <c r="G18" s="51">
        <f t="shared" si="3"/>
        <v>0</v>
      </c>
      <c r="H18" s="51">
        <f t="shared" si="4"/>
        <v>0</v>
      </c>
      <c r="I18" s="51">
        <f t="shared" si="5"/>
        <v>0</v>
      </c>
      <c r="J18" s="51">
        <f t="shared" si="6"/>
        <v>0</v>
      </c>
      <c r="K18" s="51">
        <f t="shared" si="7"/>
        <v>0</v>
      </c>
      <c r="L18" s="51">
        <f t="shared" si="8"/>
        <v>0</v>
      </c>
      <c r="M18" s="51">
        <f t="shared" si="9"/>
        <v>0</v>
      </c>
      <c r="N18" s="51">
        <f t="shared" si="10"/>
        <v>0</v>
      </c>
      <c r="O18" s="51">
        <f t="shared" si="11"/>
        <v>0</v>
      </c>
      <c r="P18" s="51">
        <f t="shared" si="12"/>
        <v>0</v>
      </c>
      <c r="Q18" s="51">
        <f t="shared" si="13"/>
        <v>0</v>
      </c>
      <c r="R18" s="51">
        <f t="shared" si="14"/>
        <v>0</v>
      </c>
      <c r="S18" s="51">
        <f t="shared" si="15"/>
        <v>0</v>
      </c>
      <c r="T18" s="51">
        <f t="shared" si="16"/>
        <v>0</v>
      </c>
      <c r="U18" s="51">
        <f t="shared" si="17"/>
        <v>0</v>
      </c>
      <c r="V18" s="51">
        <f t="shared" si="18"/>
        <v>0</v>
      </c>
      <c r="W18" s="51">
        <f t="shared" si="19"/>
        <v>0</v>
      </c>
      <c r="X18" s="46">
        <f t="shared" si="56" ref="X18:AP18">IF(E18&gt;0,RANK(E18,E$2:E$20),0)</f>
        <v>0</v>
      </c>
      <c r="Y18" s="46">
        <f t="shared" si="56"/>
        <v>0</v>
      </c>
      <c r="Z18" s="46">
        <f t="shared" si="56"/>
        <v>0</v>
      </c>
      <c r="AA18" s="46">
        <f t="shared" si="56"/>
        <v>0</v>
      </c>
      <c r="AB18" s="46">
        <f t="shared" si="56"/>
        <v>0</v>
      </c>
      <c r="AC18" s="46">
        <f t="shared" si="56"/>
        <v>0</v>
      </c>
      <c r="AD18" s="46">
        <f t="shared" si="56"/>
        <v>0</v>
      </c>
      <c r="AE18" s="46">
        <f t="shared" si="56"/>
        <v>0</v>
      </c>
      <c r="AF18" s="46">
        <f t="shared" si="56"/>
        <v>0</v>
      </c>
      <c r="AG18" s="46">
        <f t="shared" si="56"/>
        <v>0</v>
      </c>
      <c r="AH18" s="46">
        <f t="shared" si="56"/>
        <v>0</v>
      </c>
      <c r="AI18" s="46">
        <f t="shared" si="56"/>
        <v>0</v>
      </c>
      <c r="AJ18" s="46">
        <f t="shared" si="56"/>
        <v>0</v>
      </c>
      <c r="AK18" s="46">
        <f t="shared" si="56"/>
        <v>0</v>
      </c>
      <c r="AL18" s="46">
        <f t="shared" si="56"/>
        <v>0</v>
      </c>
      <c r="AM18" s="46">
        <f t="shared" si="56"/>
        <v>0</v>
      </c>
      <c r="AN18" s="46">
        <f t="shared" si="56"/>
        <v>0</v>
      </c>
      <c r="AO18" s="46">
        <f t="shared" si="56"/>
        <v>0</v>
      </c>
      <c r="AP18" s="46">
        <f t="shared" si="56"/>
        <v>0</v>
      </c>
      <c r="AQ18" s="52">
        <f t="shared" si="21"/>
        <v>0</v>
      </c>
      <c r="AR18" s="52">
        <f t="shared" si="22"/>
        <v>0</v>
      </c>
      <c r="AS18" s="52">
        <f t="shared" si="23"/>
        <v>0</v>
      </c>
      <c r="AT18" s="52">
        <f t="shared" si="24"/>
        <v>0</v>
      </c>
      <c r="AU18" s="52">
        <f t="shared" si="25"/>
        <v>0</v>
      </c>
      <c r="AV18" s="52">
        <f t="shared" si="26"/>
        <v>0</v>
      </c>
      <c r="AW18" s="52">
        <f t="shared" si="27"/>
        <v>0</v>
      </c>
      <c r="AX18" s="52">
        <f t="shared" si="28"/>
        <v>0</v>
      </c>
      <c r="AY18" s="52">
        <f t="shared" si="29"/>
        <v>0</v>
      </c>
      <c r="AZ18" s="52">
        <f t="shared" si="30"/>
        <v>0</v>
      </c>
      <c r="BA18" s="52">
        <f t="shared" si="31"/>
        <v>0</v>
      </c>
      <c r="BB18" s="52">
        <f t="shared" si="32"/>
        <v>0</v>
      </c>
      <c r="BC18" s="52">
        <f t="shared" si="33"/>
        <v>0</v>
      </c>
      <c r="BD18" s="52">
        <f t="shared" si="34"/>
        <v>0</v>
      </c>
      <c r="BE18" s="52">
        <f t="shared" si="35"/>
        <v>0</v>
      </c>
      <c r="BF18" s="52">
        <f t="shared" si="36"/>
        <v>0</v>
      </c>
      <c r="BG18" s="52">
        <f t="shared" si="37"/>
        <v>0</v>
      </c>
      <c r="BH18" s="52">
        <f t="shared" si="38"/>
        <v>0</v>
      </c>
      <c r="BI18" s="52">
        <f t="shared" si="39"/>
        <v>0</v>
      </c>
    </row>
    <row r="19" spans="1:61" ht="14.25" customHeight="1">
      <c r="A19" s="54" t="s">
        <v>37</v>
      </c>
      <c r="B19" s="49" t="str">
        <f>VLOOKUP($A19,'Gada kopsavilkums'!$A$9:$F$27,3,FALSE)</f>
        <v>RAINERS JIRGENS</v>
      </c>
      <c r="C19" s="50">
        <f>VLOOKUP($A19,'Gada kopsavilkums'!$A$9:$Y$27,21,FALSE)</f>
        <v>39.60</v>
      </c>
      <c r="D19" s="46">
        <f t="shared" si="0"/>
        <v>0</v>
      </c>
      <c r="E19" s="51">
        <f t="shared" si="1"/>
        <v>0</v>
      </c>
      <c r="F19" s="51">
        <f t="shared" si="2"/>
        <v>0</v>
      </c>
      <c r="G19" s="51">
        <f t="shared" si="3"/>
        <v>0</v>
      </c>
      <c r="H19" s="51">
        <f t="shared" si="4"/>
        <v>0</v>
      </c>
      <c r="I19" s="51">
        <f t="shared" si="5"/>
        <v>0</v>
      </c>
      <c r="J19" s="51">
        <f t="shared" si="6"/>
        <v>0</v>
      </c>
      <c r="K19" s="51">
        <f t="shared" si="7"/>
        <v>0</v>
      </c>
      <c r="L19" s="51">
        <f t="shared" si="8"/>
        <v>0</v>
      </c>
      <c r="M19" s="51">
        <f t="shared" si="9"/>
        <v>0</v>
      </c>
      <c r="N19" s="51">
        <f t="shared" si="10"/>
        <v>0</v>
      </c>
      <c r="O19" s="51">
        <f t="shared" si="11"/>
        <v>0</v>
      </c>
      <c r="P19" s="51">
        <f t="shared" si="12"/>
        <v>0</v>
      </c>
      <c r="Q19" s="51">
        <f t="shared" si="13"/>
        <v>0</v>
      </c>
      <c r="R19" s="51">
        <f t="shared" si="14"/>
        <v>0</v>
      </c>
      <c r="S19" s="51">
        <f t="shared" si="15"/>
        <v>0</v>
      </c>
      <c r="T19" s="51">
        <f t="shared" si="16"/>
        <v>0</v>
      </c>
      <c r="U19" s="51">
        <f t="shared" si="17"/>
        <v>0</v>
      </c>
      <c r="V19" s="51">
        <f t="shared" si="18"/>
        <v>0</v>
      </c>
      <c r="W19" s="51">
        <f t="shared" si="19"/>
        <v>0</v>
      </c>
      <c r="X19" s="46">
        <f t="shared" si="57" ref="X19:AP19">IF(E19&gt;0,RANK(E19,E$2:E$20),0)</f>
        <v>0</v>
      </c>
      <c r="Y19" s="46">
        <f t="shared" si="57"/>
        <v>0</v>
      </c>
      <c r="Z19" s="46">
        <f t="shared" si="57"/>
        <v>0</v>
      </c>
      <c r="AA19" s="46">
        <f t="shared" si="57"/>
        <v>0</v>
      </c>
      <c r="AB19" s="46">
        <f t="shared" si="57"/>
        <v>0</v>
      </c>
      <c r="AC19" s="46">
        <f t="shared" si="57"/>
        <v>0</v>
      </c>
      <c r="AD19" s="46">
        <f t="shared" si="57"/>
        <v>0</v>
      </c>
      <c r="AE19" s="46">
        <f t="shared" si="57"/>
        <v>0</v>
      </c>
      <c r="AF19" s="46">
        <f t="shared" si="57"/>
        <v>0</v>
      </c>
      <c r="AG19" s="46">
        <f t="shared" si="57"/>
        <v>0</v>
      </c>
      <c r="AH19" s="46">
        <f t="shared" si="57"/>
        <v>0</v>
      </c>
      <c r="AI19" s="46">
        <f t="shared" si="57"/>
        <v>0</v>
      </c>
      <c r="AJ19" s="46">
        <f t="shared" si="57"/>
        <v>0</v>
      </c>
      <c r="AK19" s="46">
        <f t="shared" si="57"/>
        <v>0</v>
      </c>
      <c r="AL19" s="46">
        <f t="shared" si="57"/>
        <v>0</v>
      </c>
      <c r="AM19" s="46">
        <f t="shared" si="57"/>
        <v>0</v>
      </c>
      <c r="AN19" s="46">
        <f t="shared" si="57"/>
        <v>0</v>
      </c>
      <c r="AO19" s="46">
        <f t="shared" si="57"/>
        <v>0</v>
      </c>
      <c r="AP19" s="46">
        <f t="shared" si="57"/>
        <v>0</v>
      </c>
      <c r="AQ19" s="52">
        <f t="shared" si="21"/>
        <v>0</v>
      </c>
      <c r="AR19" s="52">
        <f t="shared" si="22"/>
        <v>0</v>
      </c>
      <c r="AS19" s="52">
        <f t="shared" si="23"/>
        <v>0</v>
      </c>
      <c r="AT19" s="52">
        <f t="shared" si="24"/>
        <v>0</v>
      </c>
      <c r="AU19" s="52">
        <f t="shared" si="25"/>
        <v>0</v>
      </c>
      <c r="AV19" s="52">
        <f t="shared" si="26"/>
        <v>0</v>
      </c>
      <c r="AW19" s="52">
        <f t="shared" si="27"/>
        <v>0</v>
      </c>
      <c r="AX19" s="52">
        <f t="shared" si="28"/>
        <v>0</v>
      </c>
      <c r="AY19" s="52">
        <f t="shared" si="29"/>
        <v>0</v>
      </c>
      <c r="AZ19" s="52">
        <f t="shared" si="30"/>
        <v>0</v>
      </c>
      <c r="BA19" s="52">
        <f t="shared" si="31"/>
        <v>0</v>
      </c>
      <c r="BB19" s="52">
        <f t="shared" si="32"/>
        <v>0</v>
      </c>
      <c r="BC19" s="52">
        <f t="shared" si="33"/>
        <v>0</v>
      </c>
      <c r="BD19" s="52">
        <f t="shared" si="34"/>
        <v>0</v>
      </c>
      <c r="BE19" s="52">
        <f t="shared" si="35"/>
        <v>0</v>
      </c>
      <c r="BF19" s="52">
        <f t="shared" si="36"/>
        <v>0</v>
      </c>
      <c r="BG19" s="52">
        <f t="shared" si="37"/>
        <v>0</v>
      </c>
      <c r="BH19" s="52">
        <f t="shared" si="38"/>
        <v>0</v>
      </c>
      <c r="BI19" s="52">
        <f t="shared" si="39"/>
        <v>0</v>
      </c>
    </row>
    <row r="20" spans="1:61" ht="14.25" customHeight="1">
      <c r="A20" s="48" t="s">
        <v>40</v>
      </c>
      <c r="B20" s="49" t="str">
        <f>VLOOKUP($A20,'Gada kopsavilkums'!$A$9:$F$27,3,FALSE)</f>
        <v>ROLANDS BUNDIŅŠ</v>
      </c>
      <c r="C20" s="50">
        <f>VLOOKUP($A20,'Gada kopsavilkums'!$A$9:$Y$27,21,FALSE)</f>
        <v>6.575</v>
      </c>
      <c r="D20" s="46">
        <f t="shared" si="0"/>
        <v>0</v>
      </c>
      <c r="E20" s="51">
        <f t="shared" si="1"/>
        <v>0</v>
      </c>
      <c r="F20" s="51">
        <f t="shared" si="2"/>
        <v>0</v>
      </c>
      <c r="G20" s="51">
        <f t="shared" si="3"/>
        <v>0</v>
      </c>
      <c r="H20" s="51">
        <f t="shared" si="4"/>
        <v>0</v>
      </c>
      <c r="I20" s="51">
        <f t="shared" si="5"/>
        <v>0</v>
      </c>
      <c r="J20" s="51">
        <f t="shared" si="6"/>
        <v>0</v>
      </c>
      <c r="K20" s="51">
        <f t="shared" si="7"/>
        <v>0</v>
      </c>
      <c r="L20" s="51">
        <f t="shared" si="8"/>
        <v>0</v>
      </c>
      <c r="M20" s="51">
        <f t="shared" si="9"/>
        <v>0</v>
      </c>
      <c r="N20" s="51">
        <f t="shared" si="10"/>
        <v>0</v>
      </c>
      <c r="O20" s="51">
        <f t="shared" si="11"/>
        <v>0</v>
      </c>
      <c r="P20" s="51">
        <f t="shared" si="12"/>
        <v>0</v>
      </c>
      <c r="Q20" s="51">
        <f t="shared" si="13"/>
        <v>0</v>
      </c>
      <c r="R20" s="51">
        <f t="shared" si="14"/>
        <v>0</v>
      </c>
      <c r="S20" s="51">
        <f t="shared" si="15"/>
        <v>0</v>
      </c>
      <c r="T20" s="51">
        <f t="shared" si="16"/>
        <v>0</v>
      </c>
      <c r="U20" s="51">
        <f t="shared" si="17"/>
        <v>0</v>
      </c>
      <c r="V20" s="51">
        <f t="shared" si="18"/>
        <v>0</v>
      </c>
      <c r="W20" s="51">
        <f t="shared" si="19"/>
        <v>0</v>
      </c>
      <c r="X20" s="46">
        <f t="shared" si="58" ref="X20:AP20">IF(E20&gt;0,RANK(E20,E$2:E$20),0)</f>
        <v>0</v>
      </c>
      <c r="Y20" s="46">
        <f t="shared" si="58"/>
        <v>0</v>
      </c>
      <c r="Z20" s="46">
        <f t="shared" si="58"/>
        <v>0</v>
      </c>
      <c r="AA20" s="46">
        <f t="shared" si="58"/>
        <v>0</v>
      </c>
      <c r="AB20" s="46">
        <f t="shared" si="58"/>
        <v>0</v>
      </c>
      <c r="AC20" s="46">
        <f t="shared" si="58"/>
        <v>0</v>
      </c>
      <c r="AD20" s="46">
        <f t="shared" si="58"/>
        <v>0</v>
      </c>
      <c r="AE20" s="46">
        <f t="shared" si="58"/>
        <v>0</v>
      </c>
      <c r="AF20" s="46">
        <f t="shared" si="58"/>
        <v>0</v>
      </c>
      <c r="AG20" s="46">
        <f t="shared" si="58"/>
        <v>0</v>
      </c>
      <c r="AH20" s="46">
        <f t="shared" si="58"/>
        <v>0</v>
      </c>
      <c r="AI20" s="46">
        <f t="shared" si="58"/>
        <v>0</v>
      </c>
      <c r="AJ20" s="46">
        <f t="shared" si="58"/>
        <v>0</v>
      </c>
      <c r="AK20" s="46">
        <f t="shared" si="58"/>
        <v>0</v>
      </c>
      <c r="AL20" s="46">
        <f t="shared" si="58"/>
        <v>0</v>
      </c>
      <c r="AM20" s="46">
        <f t="shared" si="58"/>
        <v>0</v>
      </c>
      <c r="AN20" s="46">
        <f t="shared" si="58"/>
        <v>0</v>
      </c>
      <c r="AO20" s="46">
        <f t="shared" si="58"/>
        <v>0</v>
      </c>
      <c r="AP20" s="46">
        <f t="shared" si="58"/>
        <v>0</v>
      </c>
      <c r="AQ20" s="52">
        <f t="shared" si="21"/>
        <v>0</v>
      </c>
      <c r="AR20" s="52">
        <f t="shared" si="22"/>
        <v>0</v>
      </c>
      <c r="AS20" s="52">
        <f t="shared" si="23"/>
        <v>0</v>
      </c>
      <c r="AT20" s="52">
        <f t="shared" si="24"/>
        <v>0</v>
      </c>
      <c r="AU20" s="52">
        <f t="shared" si="25"/>
        <v>0</v>
      </c>
      <c r="AV20" s="52">
        <f t="shared" si="26"/>
        <v>0</v>
      </c>
      <c r="AW20" s="52">
        <f t="shared" si="27"/>
        <v>0</v>
      </c>
      <c r="AX20" s="52">
        <f t="shared" si="28"/>
        <v>0</v>
      </c>
      <c r="AY20" s="52">
        <f t="shared" si="29"/>
        <v>0</v>
      </c>
      <c r="AZ20" s="52">
        <f t="shared" si="30"/>
        <v>0</v>
      </c>
      <c r="BA20" s="52">
        <f t="shared" si="31"/>
        <v>0</v>
      </c>
      <c r="BB20" s="52">
        <f t="shared" si="32"/>
        <v>0</v>
      </c>
      <c r="BC20" s="52">
        <f t="shared" si="33"/>
        <v>0</v>
      </c>
      <c r="BD20" s="52">
        <f t="shared" si="34"/>
        <v>0</v>
      </c>
      <c r="BE20" s="52">
        <f t="shared" si="35"/>
        <v>0</v>
      </c>
      <c r="BF20" s="52">
        <f t="shared" si="36"/>
        <v>0</v>
      </c>
      <c r="BG20" s="52">
        <f t="shared" si="37"/>
        <v>0</v>
      </c>
      <c r="BH20" s="52">
        <f t="shared" si="38"/>
        <v>0</v>
      </c>
      <c r="BI20" s="52">
        <f t="shared" si="39"/>
        <v>0</v>
      </c>
    </row>
    <row r="21" spans="2:5" ht="14.25" customHeight="1">
      <c r="B21" s="55">
        <f>SUM(B2:B20)</f>
        <v>0</v>
      </c>
      <c r="E21" s="7">
        <f>SUM(E2:W20)</f>
        <v>0</v>
      </c>
    </row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</sheetData>
  <pageMargins left="0.7" right="0.7" top="0.75" bottom="0.75" header="0" footer="0"/>
  <pageSetup orientation="landscape" paperSize="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29"/>
  <sheetViews>
    <sheetView showGridLines="0" workbookViewId="0" topLeftCell="A1">
      <selection pane="topLeft" activeCell="D9" sqref="D9:D27"/>
    </sheetView>
  </sheetViews>
  <sheetFormatPr defaultColWidth="14.424285714285714" defaultRowHeight="15" customHeight="1"/>
  <cols>
    <col min="1" max="1" width="27.857142857142858" bestFit="1" customWidth="1"/>
    <col min="2" max="2" width="23.142857142857142" style="56" bestFit="1" customWidth="1"/>
    <col min="3" max="3" width="23.285714285714285" style="56" bestFit="1" customWidth="1"/>
    <col min="4" max="4" width="19.571428571428573" style="56" bestFit="1" customWidth="1"/>
    <col min="5" max="5" width="8.285714285714286" customWidth="1"/>
    <col min="6" max="6" width="10.714285714285714" customWidth="1"/>
    <col min="7" max="7" width="7" customWidth="1"/>
    <col min="8" max="8" width="7.285714285714286" customWidth="1"/>
    <col min="9" max="9" width="5.714285714285714" customWidth="1"/>
    <col min="10" max="10" width="6.714285714285714" customWidth="1"/>
    <col min="11" max="11" width="8.428571428571429" customWidth="1"/>
    <col min="12" max="12" width="5.428571428571429" customWidth="1"/>
    <col min="13" max="13" width="5.714285714285714" customWidth="1"/>
    <col min="14" max="14" width="6.428571428571429" customWidth="1"/>
    <col min="15" max="15" width="7.285714285714286" customWidth="1"/>
    <col min="16" max="16" width="9" customWidth="1"/>
    <col min="17" max="17" width="5.714285714285714" customWidth="1"/>
    <col min="18" max="18" width="5.571428571428571" customWidth="1"/>
    <col min="19" max="19" width="6.285714285714286" customWidth="1"/>
    <col min="20" max="20" width="7.714285714285714" customWidth="1"/>
    <col min="21" max="21" width="7.571428571428571" customWidth="1"/>
    <col min="22" max="22" width="6.285714285714286" customWidth="1"/>
    <col min="23" max="23" width="21.857142857142858" hidden="1" customWidth="1"/>
    <col min="24" max="25" width="8" hidden="1" customWidth="1"/>
    <col min="26" max="27" width="8.714285714285714" customWidth="1"/>
  </cols>
  <sheetData>
    <row r="1" spans="1:4" s="58" customFormat="1" ht="14.25" customHeight="1">
      <c r="A1" s="59"/>
      <c r="B1" s="59"/>
      <c r="C1" s="59"/>
      <c r="D1" s="59"/>
    </row>
    <row r="2" spans="1:4" s="58" customFormat="1" ht="14.25" customHeight="1">
      <c r="A2" s="59"/>
      <c r="B2" s="59"/>
      <c r="C2" s="59"/>
      <c r="D2" s="59"/>
    </row>
    <row r="3" spans="1:4" s="58" customFormat="1" ht="14.25" customHeight="1">
      <c r="A3" s="59"/>
      <c r="B3" s="59"/>
      <c r="C3" s="59"/>
      <c r="D3" s="59"/>
    </row>
    <row r="4" spans="1:22" ht="26.25">
      <c r="A4" s="66" t="s">
        <v>0</v>
      </c>
      <c r="B4" s="66"/>
      <c r="C4" s="66"/>
      <c r="D4" s="66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</row>
    <row r="5" spans="1:22" ht="14.25" customHeight="1">
      <c r="A5" s="67" t="s">
        <v>41</v>
      </c>
      <c r="B5" s="67"/>
      <c r="C5" s="67"/>
      <c r="D5" s="67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</row>
    <row r="6" spans="1:22" ht="14.25" customHeight="1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</row>
    <row r="7" spans="1:22" ht="18" customHeight="1">
      <c r="A7" s="25" t="s">
        <v>4</v>
      </c>
      <c r="B7" s="60" t="s">
        <v>123</v>
      </c>
      <c r="C7" s="60" t="s">
        <v>124</v>
      </c>
      <c r="D7" s="60" t="s">
        <v>125</v>
      </c>
      <c r="E7" s="72" t="s">
        <v>42</v>
      </c>
      <c r="F7" s="73"/>
      <c r="G7" s="74"/>
      <c r="H7" s="68" t="s">
        <v>43</v>
      </c>
      <c r="I7" s="69"/>
      <c r="J7" s="69"/>
      <c r="K7" s="69"/>
      <c r="L7" s="71"/>
      <c r="M7" s="68" t="s">
        <v>44</v>
      </c>
      <c r="N7" s="69"/>
      <c r="O7" s="69"/>
      <c r="P7" s="69"/>
      <c r="Q7" s="70"/>
      <c r="R7" s="68" t="s">
        <v>45</v>
      </c>
      <c r="S7" s="69"/>
      <c r="T7" s="69"/>
      <c r="U7" s="69"/>
      <c r="V7" s="70"/>
    </row>
    <row r="8" spans="1:25" ht="25.5" customHeight="1">
      <c r="A8" s="26"/>
      <c r="B8" s="61" t="s">
        <v>117</v>
      </c>
      <c r="C8" s="61" t="s">
        <v>117</v>
      </c>
      <c r="D8" s="61" t="s">
        <v>117</v>
      </c>
      <c r="E8" s="75" t="s">
        <v>6</v>
      </c>
      <c r="F8" s="76" t="s">
        <v>10</v>
      </c>
      <c r="G8" s="77" t="s">
        <v>46</v>
      </c>
      <c r="H8" s="27" t="s">
        <v>47</v>
      </c>
      <c r="I8" s="28" t="s">
        <v>5</v>
      </c>
      <c r="J8" s="28" t="s">
        <v>7</v>
      </c>
      <c r="K8" s="28" t="s">
        <v>10</v>
      </c>
      <c r="L8" s="29" t="s">
        <v>46</v>
      </c>
      <c r="M8" s="27" t="s">
        <v>47</v>
      </c>
      <c r="N8" s="28" t="s">
        <v>5</v>
      </c>
      <c r="O8" s="28" t="s">
        <v>7</v>
      </c>
      <c r="P8" s="28" t="s">
        <v>10</v>
      </c>
      <c r="Q8" s="30" t="s">
        <v>46</v>
      </c>
      <c r="R8" s="27" t="s">
        <v>47</v>
      </c>
      <c r="S8" s="28" t="s">
        <v>5</v>
      </c>
      <c r="T8" s="28" t="s">
        <v>7</v>
      </c>
      <c r="U8" s="28" t="s">
        <v>10</v>
      </c>
      <c r="V8" s="30" t="s">
        <v>46</v>
      </c>
      <c r="X8" s="19" t="s">
        <v>48</v>
      </c>
      <c r="Y8" s="19" t="s">
        <v>49</v>
      </c>
    </row>
    <row r="9" spans="1:25" ht="18" customHeight="1">
      <c r="A9" s="62" t="s">
        <v>27</v>
      </c>
      <c r="B9" s="128" t="s">
        <v>111</v>
      </c>
      <c r="C9" s="128" t="s">
        <v>112</v>
      </c>
      <c r="D9" s="128"/>
      <c r="E9" s="78">
        <v>1</v>
      </c>
      <c r="F9" s="79">
        <v>530.565</v>
      </c>
      <c r="G9" s="80">
        <v>4</v>
      </c>
      <c r="H9" s="32" t="s">
        <v>50</v>
      </c>
      <c r="I9" s="31">
        <v>20</v>
      </c>
      <c r="J9" s="31">
        <v>42</v>
      </c>
      <c r="K9" s="33">
        <v>142.345</v>
      </c>
      <c r="L9" s="34">
        <v>1</v>
      </c>
      <c r="M9" s="32" t="s">
        <v>51</v>
      </c>
      <c r="N9" s="31">
        <v>34</v>
      </c>
      <c r="O9" s="31">
        <v>64</v>
      </c>
      <c r="P9" s="33">
        <v>229.47</v>
      </c>
      <c r="Q9" s="35">
        <v>2</v>
      </c>
      <c r="R9" s="32" t="s">
        <v>52</v>
      </c>
      <c r="S9" s="36">
        <v>27</v>
      </c>
      <c r="T9" s="37">
        <v>53</v>
      </c>
      <c r="U9" s="33">
        <v>158.75</v>
      </c>
      <c r="V9" s="35">
        <v>1</v>
      </c>
      <c r="X9" s="38">
        <f t="shared" si="0" ref="X9:X27">SUM(L9,Q9,V9)</f>
        <v>4</v>
      </c>
      <c r="Y9" s="38">
        <f>VLOOKUP(A9,Sheet2!$A$2:$D$20,4,FALSE)</f>
        <v>0</v>
      </c>
    </row>
    <row r="10" spans="1:25" ht="18" customHeight="1">
      <c r="A10" s="62" t="s">
        <v>53</v>
      </c>
      <c r="B10" s="128" t="s">
        <v>113</v>
      </c>
      <c r="C10" s="128" t="s">
        <v>114</v>
      </c>
      <c r="D10" s="128"/>
      <c r="E10" s="78">
        <v>2</v>
      </c>
      <c r="F10" s="79">
        <v>543.855</v>
      </c>
      <c r="G10" s="80">
        <v>6</v>
      </c>
      <c r="H10" s="32" t="s">
        <v>51</v>
      </c>
      <c r="I10" s="31">
        <v>37</v>
      </c>
      <c r="J10" s="31">
        <v>53</v>
      </c>
      <c r="K10" s="33">
        <v>188.005</v>
      </c>
      <c r="L10" s="34">
        <v>1</v>
      </c>
      <c r="M10" s="32" t="s">
        <v>50</v>
      </c>
      <c r="N10" s="31">
        <v>19</v>
      </c>
      <c r="O10" s="31">
        <v>65</v>
      </c>
      <c r="P10" s="33">
        <v>211.875</v>
      </c>
      <c r="Q10" s="35">
        <v>3</v>
      </c>
      <c r="R10" s="32" t="s">
        <v>52</v>
      </c>
      <c r="S10" s="36">
        <v>26</v>
      </c>
      <c r="T10" s="37">
        <v>40</v>
      </c>
      <c r="U10" s="33">
        <v>143.975</v>
      </c>
      <c r="V10" s="35">
        <v>2</v>
      </c>
      <c r="X10" s="38">
        <f t="shared" si="0"/>
        <v>6</v>
      </c>
      <c r="Y10" s="38">
        <f>VLOOKUP(A10,Sheet2!$A$2:$D$20,4,FALSE)</f>
        <v>0</v>
      </c>
    </row>
    <row r="11" spans="1:25" ht="18" customHeight="1">
      <c r="A11" s="62" t="s">
        <v>13</v>
      </c>
      <c r="B11" s="128" t="s">
        <v>115</v>
      </c>
      <c r="C11" s="128" t="s">
        <v>116</v>
      </c>
      <c r="D11" s="128"/>
      <c r="E11" s="78">
        <v>3</v>
      </c>
      <c r="F11" s="79">
        <v>441.60200000000003</v>
      </c>
      <c r="G11" s="80">
        <v>6</v>
      </c>
      <c r="H11" s="32" t="s">
        <v>50</v>
      </c>
      <c r="I11" s="31">
        <v>15</v>
      </c>
      <c r="J11" s="31">
        <v>34</v>
      </c>
      <c r="K11" s="33">
        <v>116.245</v>
      </c>
      <c r="L11" s="34">
        <v>2</v>
      </c>
      <c r="M11" s="32" t="s">
        <v>52</v>
      </c>
      <c r="N11" s="31">
        <v>26</v>
      </c>
      <c r="O11" s="31">
        <v>57</v>
      </c>
      <c r="P11" s="33">
        <v>203.802</v>
      </c>
      <c r="Q11" s="35">
        <v>3</v>
      </c>
      <c r="R11" s="32" t="s">
        <v>51</v>
      </c>
      <c r="S11" s="36">
        <v>34</v>
      </c>
      <c r="T11" s="37">
        <v>28</v>
      </c>
      <c r="U11" s="33">
        <v>121.55499999999999</v>
      </c>
      <c r="V11" s="35">
        <v>1</v>
      </c>
      <c r="X11" s="38">
        <f t="shared" si="0"/>
        <v>6</v>
      </c>
      <c r="Y11" s="38">
        <f>VLOOKUP(A11,Sheet2!$A$2:$D$20,4,FALSE)</f>
        <v>0</v>
      </c>
    </row>
    <row r="12" spans="1:25" ht="18" customHeight="1">
      <c r="A12" s="62" t="s">
        <v>34</v>
      </c>
      <c r="B12" s="128" t="s">
        <v>118</v>
      </c>
      <c r="C12" s="128" t="s">
        <v>119</v>
      </c>
      <c r="D12" s="128"/>
      <c r="E12" s="78">
        <v>4</v>
      </c>
      <c r="F12" s="79">
        <v>371.395</v>
      </c>
      <c r="G12" s="80">
        <v>7</v>
      </c>
      <c r="H12" s="32" t="s">
        <v>51</v>
      </c>
      <c r="I12" s="31">
        <v>33</v>
      </c>
      <c r="J12" s="31">
        <v>6</v>
      </c>
      <c r="K12" s="33">
        <v>24.40</v>
      </c>
      <c r="L12" s="34">
        <v>4</v>
      </c>
      <c r="M12" s="32" t="s">
        <v>52</v>
      </c>
      <c r="N12" s="31">
        <v>24</v>
      </c>
      <c r="O12" s="31">
        <v>51</v>
      </c>
      <c r="P12" s="33">
        <v>205.175</v>
      </c>
      <c r="Q12" s="35">
        <v>2</v>
      </c>
      <c r="R12" s="32" t="s">
        <v>50</v>
      </c>
      <c r="S12" s="36">
        <v>14</v>
      </c>
      <c r="T12" s="37">
        <v>42</v>
      </c>
      <c r="U12" s="33">
        <v>141.82</v>
      </c>
      <c r="V12" s="35">
        <v>1</v>
      </c>
      <c r="X12" s="38">
        <f t="shared" si="0"/>
        <v>7</v>
      </c>
      <c r="Y12" s="38">
        <f>VLOOKUP(A12,Sheet2!$A$2:$D$20,4,FALSE)</f>
        <v>0</v>
      </c>
    </row>
    <row r="13" spans="1:25" ht="18" customHeight="1">
      <c r="A13" s="62" t="s">
        <v>16</v>
      </c>
      <c r="B13" s="128" t="s">
        <v>120</v>
      </c>
      <c r="C13" s="128" t="s">
        <v>121</v>
      </c>
      <c r="D13" s="128" t="s">
        <v>122</v>
      </c>
      <c r="E13" s="78">
        <v>5</v>
      </c>
      <c r="F13" s="79">
        <v>447.235</v>
      </c>
      <c r="G13" s="80">
        <v>8</v>
      </c>
      <c r="H13" s="32" t="s">
        <v>52</v>
      </c>
      <c r="I13" s="31">
        <v>26</v>
      </c>
      <c r="J13" s="31">
        <v>17</v>
      </c>
      <c r="K13" s="33">
        <v>72.56</v>
      </c>
      <c r="L13" s="34">
        <v>3</v>
      </c>
      <c r="M13" s="32" t="s">
        <v>50</v>
      </c>
      <c r="N13" s="31">
        <v>16</v>
      </c>
      <c r="O13" s="31">
        <v>90</v>
      </c>
      <c r="P13" s="31">
        <v>284.95</v>
      </c>
      <c r="Q13" s="35">
        <v>1</v>
      </c>
      <c r="R13" s="32" t="s">
        <v>51</v>
      </c>
      <c r="S13" s="36">
        <v>36</v>
      </c>
      <c r="T13" s="37">
        <v>24</v>
      </c>
      <c r="U13" s="33">
        <v>89.725</v>
      </c>
      <c r="V13" s="35">
        <v>4</v>
      </c>
      <c r="X13" s="38">
        <f t="shared" si="0"/>
        <v>8</v>
      </c>
      <c r="Y13" s="38">
        <f>VLOOKUP(A13,Sheet2!$A$2:$D$20,4,FALSE)</f>
        <v>0</v>
      </c>
    </row>
    <row r="14" spans="1:25" ht="18" customHeight="1">
      <c r="A14" s="62" t="s">
        <v>30</v>
      </c>
      <c r="B14" s="128" t="s">
        <v>126</v>
      </c>
      <c r="C14" s="128" t="s">
        <v>127</v>
      </c>
      <c r="D14" s="128" t="s">
        <v>128</v>
      </c>
      <c r="E14" s="78">
        <v>6</v>
      </c>
      <c r="F14" s="79">
        <v>442.91</v>
      </c>
      <c r="G14" s="80">
        <v>8</v>
      </c>
      <c r="H14" s="32" t="s">
        <v>50</v>
      </c>
      <c r="I14" s="31">
        <v>19</v>
      </c>
      <c r="J14" s="31">
        <v>27</v>
      </c>
      <c r="K14" s="33">
        <v>91.16</v>
      </c>
      <c r="L14" s="34">
        <v>3</v>
      </c>
      <c r="M14" s="32" t="s">
        <v>51</v>
      </c>
      <c r="N14" s="31">
        <v>37</v>
      </c>
      <c r="O14" s="31">
        <v>84</v>
      </c>
      <c r="P14" s="31">
        <v>261.875</v>
      </c>
      <c r="Q14" s="35">
        <v>1</v>
      </c>
      <c r="R14" s="32" t="s">
        <v>52</v>
      </c>
      <c r="S14" s="36">
        <v>24</v>
      </c>
      <c r="T14" s="37">
        <v>26</v>
      </c>
      <c r="U14" s="33">
        <v>89.875</v>
      </c>
      <c r="V14" s="35">
        <v>4</v>
      </c>
      <c r="X14" s="38">
        <f t="shared" si="0"/>
        <v>8</v>
      </c>
      <c r="Y14" s="38">
        <f>VLOOKUP(A14,Sheet2!$A$2:$D$20,4,FALSE)</f>
        <v>0</v>
      </c>
    </row>
    <row r="15" spans="1:25" ht="18" customHeight="1">
      <c r="A15" s="62" t="s">
        <v>36</v>
      </c>
      <c r="B15" s="128" t="s">
        <v>129</v>
      </c>
      <c r="C15" s="128" t="s">
        <v>130</v>
      </c>
      <c r="D15" s="128" t="s">
        <v>131</v>
      </c>
      <c r="E15" s="78">
        <v>7</v>
      </c>
      <c r="F15" s="79">
        <v>383.15</v>
      </c>
      <c r="G15" s="80">
        <v>8</v>
      </c>
      <c r="H15" s="32" t="s">
        <v>52</v>
      </c>
      <c r="I15" s="31">
        <v>25</v>
      </c>
      <c r="J15" s="31">
        <v>25</v>
      </c>
      <c r="K15" s="33">
        <v>92.75</v>
      </c>
      <c r="L15" s="34">
        <v>2</v>
      </c>
      <c r="M15" s="32" t="s">
        <v>51</v>
      </c>
      <c r="N15" s="31">
        <v>32</v>
      </c>
      <c r="O15" s="31">
        <v>57</v>
      </c>
      <c r="P15" s="33">
        <v>206.675</v>
      </c>
      <c r="Q15" s="35">
        <v>3</v>
      </c>
      <c r="R15" s="32" t="s">
        <v>50</v>
      </c>
      <c r="S15" s="36">
        <v>17</v>
      </c>
      <c r="T15" s="37">
        <v>27</v>
      </c>
      <c r="U15" s="33">
        <v>83.725</v>
      </c>
      <c r="V15" s="35">
        <v>3</v>
      </c>
      <c r="X15" s="38">
        <f t="shared" si="0"/>
        <v>8</v>
      </c>
      <c r="Y15" s="38">
        <f>VLOOKUP(A15,Sheet2!$A$2:$D$20,4,FALSE)</f>
        <v>0</v>
      </c>
    </row>
    <row r="16" spans="1:25" ht="18" customHeight="1">
      <c r="A16" s="62" t="s">
        <v>32</v>
      </c>
      <c r="B16" s="128" t="s">
        <v>132</v>
      </c>
      <c r="C16" s="128" t="s">
        <v>133</v>
      </c>
      <c r="D16" s="128" t="s">
        <v>134</v>
      </c>
      <c r="E16" s="78">
        <v>8</v>
      </c>
      <c r="F16" s="79">
        <v>402.58</v>
      </c>
      <c r="G16" s="80">
        <v>10</v>
      </c>
      <c r="H16" s="32" t="s">
        <v>51</v>
      </c>
      <c r="I16" s="31">
        <v>35</v>
      </c>
      <c r="J16" s="31">
        <v>26</v>
      </c>
      <c r="K16" s="33">
        <v>92.36</v>
      </c>
      <c r="L16" s="34">
        <v>2</v>
      </c>
      <c r="M16" s="32" t="s">
        <v>50</v>
      </c>
      <c r="N16" s="31">
        <v>17</v>
      </c>
      <c r="O16" s="31">
        <v>66</v>
      </c>
      <c r="P16" s="31">
        <v>240.045</v>
      </c>
      <c r="Q16" s="35">
        <v>2</v>
      </c>
      <c r="R16" s="32" t="s">
        <v>52</v>
      </c>
      <c r="S16" s="36">
        <v>28</v>
      </c>
      <c r="T16" s="37">
        <v>21</v>
      </c>
      <c r="U16" s="33">
        <v>70.17500000000001</v>
      </c>
      <c r="V16" s="35">
        <v>6</v>
      </c>
      <c r="X16" s="38">
        <f t="shared" si="0"/>
        <v>10</v>
      </c>
      <c r="Y16" s="38">
        <f>VLOOKUP(A16,Sheet2!$A$2:$D$20,4,FALSE)</f>
        <v>0</v>
      </c>
    </row>
    <row r="17" spans="1:25" ht="18" customHeight="1">
      <c r="A17" s="62" t="s">
        <v>38</v>
      </c>
      <c r="B17" s="128" t="s">
        <v>135</v>
      </c>
      <c r="C17" s="128" t="s">
        <v>136</v>
      </c>
      <c r="D17" s="128"/>
      <c r="E17" s="78">
        <v>10</v>
      </c>
      <c r="F17" s="79">
        <v>264.287</v>
      </c>
      <c r="G17" s="80">
        <v>11</v>
      </c>
      <c r="H17" s="32" t="s">
        <v>51</v>
      </c>
      <c r="I17" s="31">
        <v>31</v>
      </c>
      <c r="J17" s="31">
        <v>5</v>
      </c>
      <c r="K17" s="33">
        <v>11.26</v>
      </c>
      <c r="L17" s="34">
        <v>5</v>
      </c>
      <c r="M17" s="32" t="s">
        <v>52</v>
      </c>
      <c r="N17" s="31">
        <v>27</v>
      </c>
      <c r="O17" s="31">
        <v>65</v>
      </c>
      <c r="P17" s="31">
        <v>214.327</v>
      </c>
      <c r="Q17" s="35">
        <v>1</v>
      </c>
      <c r="R17" s="32" t="s">
        <v>50</v>
      </c>
      <c r="S17" s="36">
        <v>19</v>
      </c>
      <c r="T17" s="37">
        <v>11</v>
      </c>
      <c r="U17" s="33">
        <v>38.699999999999996</v>
      </c>
      <c r="V17" s="35">
        <v>5</v>
      </c>
      <c r="X17" s="38">
        <f t="shared" si="0"/>
        <v>11</v>
      </c>
      <c r="Y17" s="38">
        <f>VLOOKUP(A17,Sheet2!$A$2:$D$20,4,FALSE)</f>
        <v>0</v>
      </c>
    </row>
    <row r="18" spans="1:25" ht="18" customHeight="1">
      <c r="A18" s="63" t="s">
        <v>15</v>
      </c>
      <c r="B18" s="129" t="s">
        <v>137</v>
      </c>
      <c r="C18" s="129" t="s">
        <v>138</v>
      </c>
      <c r="D18" s="129"/>
      <c r="E18" s="78">
        <v>9</v>
      </c>
      <c r="F18" s="79">
        <v>348.59</v>
      </c>
      <c r="G18" s="80">
        <v>11</v>
      </c>
      <c r="H18" s="32" t="s">
        <v>50</v>
      </c>
      <c r="I18" s="31">
        <v>16</v>
      </c>
      <c r="J18" s="31">
        <v>12</v>
      </c>
      <c r="K18" s="33">
        <v>49.215</v>
      </c>
      <c r="L18" s="34">
        <v>4</v>
      </c>
      <c r="M18" s="32" t="s">
        <v>52</v>
      </c>
      <c r="N18" s="31">
        <v>22</v>
      </c>
      <c r="O18" s="31">
        <v>52</v>
      </c>
      <c r="P18" s="33">
        <v>195.55</v>
      </c>
      <c r="Q18" s="35">
        <v>4</v>
      </c>
      <c r="R18" s="32" t="s">
        <v>51</v>
      </c>
      <c r="S18" s="36">
        <v>33</v>
      </c>
      <c r="T18" s="37">
        <v>22</v>
      </c>
      <c r="U18" s="33">
        <v>103.82499999999999</v>
      </c>
      <c r="V18" s="35">
        <v>3</v>
      </c>
      <c r="X18" s="38">
        <f t="shared" si="0"/>
        <v>11</v>
      </c>
      <c r="Y18" s="38">
        <f>VLOOKUP(A18,Sheet2!$A$2:$D$20,4,FALSE)</f>
        <v>0</v>
      </c>
    </row>
    <row r="19" spans="1:25" ht="18" customHeight="1">
      <c r="A19" s="63" t="s">
        <v>17</v>
      </c>
      <c r="B19" s="129" t="s">
        <v>139</v>
      </c>
      <c r="C19" s="129" t="s">
        <v>140</v>
      </c>
      <c r="D19" s="129"/>
      <c r="E19" s="78">
        <v>11</v>
      </c>
      <c r="F19" s="79">
        <v>232.63</v>
      </c>
      <c r="G19" s="80">
        <v>11</v>
      </c>
      <c r="H19" s="32" t="s">
        <v>52</v>
      </c>
      <c r="I19" s="31">
        <v>27</v>
      </c>
      <c r="J19" s="31">
        <v>34</v>
      </c>
      <c r="K19" s="33">
        <v>116.155</v>
      </c>
      <c r="L19" s="34">
        <v>1</v>
      </c>
      <c r="M19" s="32" t="s">
        <v>50</v>
      </c>
      <c r="N19" s="31">
        <v>20</v>
      </c>
      <c r="O19" s="31">
        <v>24</v>
      </c>
      <c r="P19" s="31">
        <v>79.675</v>
      </c>
      <c r="Q19" s="35">
        <v>5</v>
      </c>
      <c r="R19" s="32" t="s">
        <v>51</v>
      </c>
      <c r="S19" s="36">
        <v>35</v>
      </c>
      <c r="T19" s="37">
        <v>11</v>
      </c>
      <c r="U19" s="33">
        <v>36.8</v>
      </c>
      <c r="V19" s="35">
        <v>5</v>
      </c>
      <c r="X19" s="38">
        <f t="shared" si="0"/>
        <v>11</v>
      </c>
      <c r="Y19" s="38">
        <f>VLOOKUP(A19,Sheet2!$A$2:$D$20,4,FALSE)</f>
        <v>0</v>
      </c>
    </row>
    <row r="20" spans="1:25" ht="18" customHeight="1">
      <c r="A20" s="63" t="s">
        <v>31</v>
      </c>
      <c r="B20" s="129" t="s">
        <v>141</v>
      </c>
      <c r="C20" s="129" t="s">
        <v>142</v>
      </c>
      <c r="D20" s="129"/>
      <c r="E20" s="78">
        <v>12</v>
      </c>
      <c r="F20" s="79">
        <v>267.84</v>
      </c>
      <c r="G20" s="80">
        <v>12</v>
      </c>
      <c r="H20" s="32" t="s">
        <v>51</v>
      </c>
      <c r="I20" s="31">
        <v>32</v>
      </c>
      <c r="J20" s="31">
        <v>8</v>
      </c>
      <c r="K20" s="33">
        <v>34.84</v>
      </c>
      <c r="L20" s="34">
        <v>3</v>
      </c>
      <c r="M20" s="32" t="s">
        <v>50</v>
      </c>
      <c r="N20" s="31">
        <v>15</v>
      </c>
      <c r="O20" s="31">
        <v>46</v>
      </c>
      <c r="P20" s="31">
        <v>158.95</v>
      </c>
      <c r="Q20" s="35">
        <v>4</v>
      </c>
      <c r="R20" s="32" t="s">
        <v>52</v>
      </c>
      <c r="S20" s="36">
        <v>25</v>
      </c>
      <c r="T20" s="37">
        <v>18</v>
      </c>
      <c r="U20" s="33">
        <v>74.04999999999998</v>
      </c>
      <c r="V20" s="35">
        <v>5</v>
      </c>
      <c r="X20" s="38">
        <f t="shared" si="0"/>
        <v>12</v>
      </c>
      <c r="Y20" s="38">
        <f>VLOOKUP(A20,Sheet2!$A$2:$D$20,4,FALSE)</f>
        <v>0</v>
      </c>
    </row>
    <row r="21" spans="1:25" ht="18" customHeight="1">
      <c r="A21" s="63" t="s">
        <v>29</v>
      </c>
      <c r="B21" s="129" t="s">
        <v>143</v>
      </c>
      <c r="C21" s="129" t="s">
        <v>144</v>
      </c>
      <c r="D21" s="129"/>
      <c r="E21" s="78">
        <v>13</v>
      </c>
      <c r="F21" s="79">
        <v>259.485</v>
      </c>
      <c r="G21" s="80">
        <v>13</v>
      </c>
      <c r="H21" s="32" t="s">
        <v>50</v>
      </c>
      <c r="I21" s="31">
        <v>17</v>
      </c>
      <c r="J21" s="31">
        <v>12</v>
      </c>
      <c r="K21" s="33">
        <v>43.285</v>
      </c>
      <c r="L21" s="34">
        <v>5</v>
      </c>
      <c r="M21" s="32" t="s">
        <v>51</v>
      </c>
      <c r="N21" s="31">
        <v>35</v>
      </c>
      <c r="O21" s="31">
        <v>40</v>
      </c>
      <c r="P21" s="31">
        <v>118.525</v>
      </c>
      <c r="Q21" s="35">
        <v>5</v>
      </c>
      <c r="R21" s="32" t="s">
        <v>52</v>
      </c>
      <c r="S21" s="36">
        <v>23</v>
      </c>
      <c r="T21" s="37">
        <v>28</v>
      </c>
      <c r="U21" s="33">
        <v>97.675</v>
      </c>
      <c r="V21" s="35">
        <v>3</v>
      </c>
      <c r="X21" s="38">
        <f t="shared" si="0"/>
        <v>13</v>
      </c>
      <c r="Y21" s="38">
        <f>VLOOKUP(A21,Sheet2!$A$2:$D$20,4,FALSE)</f>
        <v>0</v>
      </c>
    </row>
    <row r="22" spans="1:25" ht="18" customHeight="1">
      <c r="A22" s="63" t="s">
        <v>14</v>
      </c>
      <c r="B22" s="129" t="s">
        <v>145</v>
      </c>
      <c r="C22" s="129" t="s">
        <v>146</v>
      </c>
      <c r="D22" s="129"/>
      <c r="E22" s="78">
        <v>16</v>
      </c>
      <c r="F22" s="79">
        <v>237.45499999999998</v>
      </c>
      <c r="G22" s="80">
        <v>14</v>
      </c>
      <c r="H22" s="32" t="s">
        <v>50</v>
      </c>
      <c r="I22" s="31">
        <v>18</v>
      </c>
      <c r="J22" s="31">
        <v>9</v>
      </c>
      <c r="K22" s="33">
        <v>28.805</v>
      </c>
      <c r="L22" s="34">
        <v>6</v>
      </c>
      <c r="M22" s="32" t="s">
        <v>52</v>
      </c>
      <c r="N22" s="31">
        <v>23</v>
      </c>
      <c r="O22" s="31">
        <v>27</v>
      </c>
      <c r="P22" s="33">
        <v>87.10</v>
      </c>
      <c r="Q22" s="35">
        <v>6</v>
      </c>
      <c r="R22" s="32" t="s">
        <v>51</v>
      </c>
      <c r="S22" s="36">
        <v>37</v>
      </c>
      <c r="T22" s="37">
        <v>40</v>
      </c>
      <c r="U22" s="33">
        <v>121.55</v>
      </c>
      <c r="V22" s="35">
        <v>2</v>
      </c>
      <c r="X22" s="38">
        <f t="shared" si="0"/>
        <v>14</v>
      </c>
      <c r="Y22" s="38">
        <f>VLOOKUP(A22,Sheet2!$A$2:$D$20,4,FALSE)</f>
        <v>0</v>
      </c>
    </row>
    <row r="23" spans="1:25" ht="18" customHeight="1">
      <c r="A23" s="63" t="s">
        <v>35</v>
      </c>
      <c r="B23" s="129" t="s">
        <v>147</v>
      </c>
      <c r="C23" s="129" t="s">
        <v>148</v>
      </c>
      <c r="D23" s="129"/>
      <c r="E23" s="78">
        <v>14</v>
      </c>
      <c r="F23" s="79">
        <v>226.55</v>
      </c>
      <c r="G23" s="80">
        <v>13</v>
      </c>
      <c r="H23" s="32" t="s">
        <v>51</v>
      </c>
      <c r="I23" s="31">
        <v>36</v>
      </c>
      <c r="J23" s="31">
        <v>3</v>
      </c>
      <c r="K23" s="33">
        <v>9.275</v>
      </c>
      <c r="L23" s="34">
        <v>6</v>
      </c>
      <c r="M23" s="32" t="s">
        <v>52</v>
      </c>
      <c r="N23" s="31">
        <v>25</v>
      </c>
      <c r="O23" s="31">
        <v>23</v>
      </c>
      <c r="P23" s="33">
        <v>97.15</v>
      </c>
      <c r="Q23" s="35">
        <v>5</v>
      </c>
      <c r="R23" s="32" t="s">
        <v>50</v>
      </c>
      <c r="S23" s="36">
        <v>20</v>
      </c>
      <c r="T23" s="37">
        <v>35</v>
      </c>
      <c r="U23" s="33">
        <v>120.125</v>
      </c>
      <c r="V23" s="35">
        <v>2</v>
      </c>
      <c r="X23" s="38">
        <f t="shared" si="0"/>
        <v>13</v>
      </c>
      <c r="Y23" s="38">
        <f>VLOOKUP(A23,Sheet2!$A$2:$D$20,4,FALSE)</f>
        <v>0</v>
      </c>
    </row>
    <row r="24" spans="1:25" ht="18" customHeight="1">
      <c r="A24" s="63" t="s">
        <v>39</v>
      </c>
      <c r="B24" s="129" t="s">
        <v>149</v>
      </c>
      <c r="C24" s="129" t="s">
        <v>150</v>
      </c>
      <c r="D24" s="129" t="s">
        <v>157</v>
      </c>
      <c r="E24" s="78">
        <v>15</v>
      </c>
      <c r="F24" s="79">
        <v>258.04499999999996</v>
      </c>
      <c r="G24" s="80">
        <v>14</v>
      </c>
      <c r="H24" s="32" t="s">
        <v>52</v>
      </c>
      <c r="I24" s="31">
        <v>28</v>
      </c>
      <c r="J24" s="31">
        <v>13</v>
      </c>
      <c r="K24" s="33">
        <v>55.82</v>
      </c>
      <c r="L24" s="34">
        <v>4</v>
      </c>
      <c r="M24" s="32" t="s">
        <v>51</v>
      </c>
      <c r="N24" s="31">
        <v>36</v>
      </c>
      <c r="O24" s="31">
        <v>50</v>
      </c>
      <c r="P24" s="33">
        <v>166.85</v>
      </c>
      <c r="Q24" s="35">
        <v>4</v>
      </c>
      <c r="R24" s="32" t="s">
        <v>50</v>
      </c>
      <c r="S24" s="36">
        <v>16</v>
      </c>
      <c r="T24" s="37">
        <v>11</v>
      </c>
      <c r="U24" s="33">
        <v>35.375</v>
      </c>
      <c r="V24" s="35">
        <v>6</v>
      </c>
      <c r="X24" s="38">
        <f t="shared" si="0"/>
        <v>14</v>
      </c>
      <c r="Y24" s="38">
        <f>VLOOKUP(A24,Sheet2!$A$2:$D$20,4,FALSE)</f>
        <v>0</v>
      </c>
    </row>
    <row r="25" spans="1:25" ht="18" customHeight="1">
      <c r="A25" s="63" t="s">
        <v>37</v>
      </c>
      <c r="B25" s="129" t="s">
        <v>151</v>
      </c>
      <c r="C25" s="129" t="s">
        <v>152</v>
      </c>
      <c r="D25" s="129"/>
      <c r="E25" s="78">
        <v>17</v>
      </c>
      <c r="F25" s="79">
        <v>138.35</v>
      </c>
      <c r="G25" s="80">
        <v>16</v>
      </c>
      <c r="H25" s="32" t="s">
        <v>51</v>
      </c>
      <c r="I25" s="31">
        <v>34</v>
      </c>
      <c r="J25" s="31">
        <v>3</v>
      </c>
      <c r="K25" s="33">
        <v>10.825</v>
      </c>
      <c r="L25" s="34">
        <v>6</v>
      </c>
      <c r="M25" s="32" t="s">
        <v>52</v>
      </c>
      <c r="N25" s="31">
        <v>28</v>
      </c>
      <c r="O25" s="31">
        <v>28</v>
      </c>
      <c r="P25" s="31">
        <v>87.925</v>
      </c>
      <c r="Q25" s="35">
        <v>6</v>
      </c>
      <c r="R25" s="32" t="s">
        <v>50</v>
      </c>
      <c r="S25" s="36">
        <v>18</v>
      </c>
      <c r="T25" s="37">
        <v>15</v>
      </c>
      <c r="U25" s="33">
        <v>39.60</v>
      </c>
      <c r="V25" s="35">
        <v>4</v>
      </c>
      <c r="X25" s="38">
        <f t="shared" si="0"/>
        <v>16</v>
      </c>
      <c r="Y25" s="38">
        <f>VLOOKUP(A25,Sheet2!$A$2:$D$20,4,FALSE)</f>
        <v>0</v>
      </c>
    </row>
    <row r="26" spans="1:25" ht="18" customHeight="1">
      <c r="A26" s="63" t="s">
        <v>18</v>
      </c>
      <c r="B26" s="129" t="s">
        <v>153</v>
      </c>
      <c r="C26" s="129" t="s">
        <v>154</v>
      </c>
      <c r="D26" s="129"/>
      <c r="E26" s="78">
        <v>18</v>
      </c>
      <c r="F26" s="79">
        <v>96.49</v>
      </c>
      <c r="G26" s="80">
        <v>17</v>
      </c>
      <c r="H26" s="32" t="s">
        <v>52</v>
      </c>
      <c r="I26" s="31">
        <v>24</v>
      </c>
      <c r="J26" s="31">
        <v>8</v>
      </c>
      <c r="K26" s="33">
        <v>32.09</v>
      </c>
      <c r="L26" s="34">
        <v>5</v>
      </c>
      <c r="M26" s="32" t="s">
        <v>50</v>
      </c>
      <c r="N26" s="31">
        <v>18</v>
      </c>
      <c r="O26" s="31">
        <v>15</v>
      </c>
      <c r="P26" s="31">
        <v>51.95</v>
      </c>
      <c r="Q26" s="35">
        <v>6</v>
      </c>
      <c r="R26" s="32" t="s">
        <v>51</v>
      </c>
      <c r="S26" s="36">
        <v>32</v>
      </c>
      <c r="T26" s="37">
        <v>4</v>
      </c>
      <c r="U26" s="33">
        <v>12.45</v>
      </c>
      <c r="V26" s="35">
        <v>6</v>
      </c>
      <c r="X26" s="38">
        <f t="shared" si="0"/>
        <v>17</v>
      </c>
      <c r="Y26" s="38">
        <f>VLOOKUP(A26,Sheet2!$A$2:$D$20,4,FALSE)</f>
        <v>0</v>
      </c>
    </row>
    <row r="27" spans="1:25" ht="18" customHeight="1">
      <c r="A27" s="64" t="s">
        <v>40</v>
      </c>
      <c r="B27" s="130" t="s">
        <v>155</v>
      </c>
      <c r="C27" s="130" t="s">
        <v>156</v>
      </c>
      <c r="D27" s="130"/>
      <c r="E27" s="78">
        <v>19</v>
      </c>
      <c r="F27" s="81">
        <v>48.60</v>
      </c>
      <c r="G27" s="82">
        <v>19</v>
      </c>
      <c r="H27" s="40" t="s">
        <v>52</v>
      </c>
      <c r="I27" s="39">
        <v>23</v>
      </c>
      <c r="J27" s="39">
        <v>0</v>
      </c>
      <c r="K27" s="41">
        <v>0</v>
      </c>
      <c r="L27" s="42">
        <v>6</v>
      </c>
      <c r="M27" s="40" t="s">
        <v>51</v>
      </c>
      <c r="N27" s="39">
        <v>33</v>
      </c>
      <c r="O27" s="39">
        <v>13</v>
      </c>
      <c r="P27" s="39">
        <v>42.025</v>
      </c>
      <c r="Q27" s="43">
        <v>6</v>
      </c>
      <c r="R27" s="40" t="s">
        <v>50</v>
      </c>
      <c r="S27" s="44">
        <v>15</v>
      </c>
      <c r="T27" s="45">
        <v>2</v>
      </c>
      <c r="U27" s="41">
        <v>6.575</v>
      </c>
      <c r="V27" s="43">
        <v>7</v>
      </c>
      <c r="X27" s="38">
        <f t="shared" si="0"/>
        <v>19</v>
      </c>
      <c r="Y27" s="38">
        <f>VLOOKUP(A27,Sheet2!$A$2:$D$20,4,FALSE)</f>
        <v>0</v>
      </c>
    </row>
    <row r="28" ht="14.25" customHeight="1"/>
    <row r="29" spans="1:4" ht="14.25" customHeight="1">
      <c r="A29" s="83" t="s">
        <v>158</v>
      </c>
      <c r="B29" s="58"/>
      <c r="C29" s="83" t="s">
        <v>159</v>
      </c>
      <c r="D29" s="58"/>
    </row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</sheetData>
  <autoFilter ref="A8:V27">
    <sortState ref="A5:V24">
      <sortCondition sortBy="value" ref="E5:E24"/>
    </sortState>
  </autoFilter>
  <mergeCells count="6">
    <mergeCell ref="A4:V4"/>
    <mergeCell ref="A5:V5"/>
    <mergeCell ref="E7:G7"/>
    <mergeCell ref="H7:L7"/>
    <mergeCell ref="M7:Q7"/>
    <mergeCell ref="R7:V7"/>
  </mergeCells>
  <pageMargins left="0.7" right="0.7" top="0.75" bottom="0.75" header="0" footer="0"/>
  <pageSetup orientation="landscape" paperSize="1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23"/>
  <sheetViews>
    <sheetView workbookViewId="0" topLeftCell="A1">
      <pane ySplit="6" topLeftCell="A7" activePane="bottomLeft" state="frozen"/>
      <selection pane="topLeft" activeCell="A1" sqref="A1"/>
      <selection pane="bottomLeft" activeCell="A1" sqref="A1"/>
    </sheetView>
  </sheetViews>
  <sheetFormatPr defaultColWidth="14.424285714285714" defaultRowHeight="15" customHeight="1"/>
  <cols>
    <col min="1" max="1" width="16.428571428571427" style="84" bestFit="1" customWidth="1"/>
    <col min="2" max="3" width="7.857142857142857" style="84" bestFit="1" customWidth="1"/>
    <col min="4" max="4" width="8" style="84" customWidth="1"/>
    <col min="5" max="5" width="11.428571428571429" style="84" customWidth="1"/>
    <col min="6" max="6" width="12.285714285714286" style="84" customWidth="1"/>
    <col min="7" max="7" width="13.714285714285714" style="84" customWidth="1"/>
    <col min="8" max="8" width="14.857142857142858" style="84" bestFit="1" customWidth="1"/>
    <col min="9" max="9" width="18.571428571428573" style="84" bestFit="1" customWidth="1"/>
    <col min="10" max="13" width="20" style="84" customWidth="1"/>
    <col min="14" max="26" width="8.714285714285714" style="84" customWidth="1"/>
    <col min="27" max="16384" width="14.428571428571429" style="84"/>
  </cols>
  <sheetData>
    <row r="1" spans="2:9" ht="15" customHeight="1">
      <c r="B1" s="109"/>
      <c r="C1" s="109"/>
      <c r="D1" s="109"/>
      <c r="E1" s="109" t="s">
        <v>0</v>
      </c>
      <c r="F1" s="119"/>
      <c r="G1" s="109"/>
      <c r="H1" s="109"/>
      <c r="I1" s="109"/>
    </row>
    <row r="2" spans="2:9" ht="15" customHeight="1">
      <c r="B2" s="108"/>
      <c r="C2" s="108"/>
      <c r="D2" s="108"/>
      <c r="E2" s="108"/>
      <c r="F2" s="120" t="s">
        <v>161</v>
      </c>
      <c r="G2" s="108"/>
      <c r="H2" s="108"/>
      <c r="I2" s="108"/>
    </row>
    <row r="3" spans="5:13" ht="15" customHeight="1">
      <c r="E3" s="108" t="s">
        <v>160</v>
      </c>
      <c r="F3" s="120"/>
      <c r="G3" s="108"/>
      <c r="H3" s="108"/>
      <c r="I3" s="108"/>
      <c r="J3" s="108"/>
      <c r="K3" s="108"/>
      <c r="L3" s="108"/>
      <c r="M3" s="108"/>
    </row>
    <row r="4" spans="2:9" ht="15" customHeight="1">
      <c r="B4" s="108"/>
      <c r="C4" s="108"/>
      <c r="D4" s="108"/>
      <c r="E4" s="108"/>
      <c r="F4" s="120" t="s">
        <v>3</v>
      </c>
      <c r="G4" s="108"/>
      <c r="H4" s="108"/>
      <c r="I4" s="108"/>
    </row>
    <row r="6" spans="1:9" ht="41.65" customHeight="1">
      <c r="A6" s="107" t="s">
        <v>4</v>
      </c>
      <c r="B6" s="106" t="s">
        <v>5</v>
      </c>
      <c r="C6" s="105" t="s">
        <v>6</v>
      </c>
      <c r="D6" s="104" t="s">
        <v>7</v>
      </c>
      <c r="E6" s="103" t="s">
        <v>8</v>
      </c>
      <c r="F6" s="103" t="s">
        <v>9</v>
      </c>
      <c r="G6" s="103" t="s">
        <v>10</v>
      </c>
      <c r="H6" s="102" t="s">
        <v>11</v>
      </c>
      <c r="I6" s="102" t="s">
        <v>12</v>
      </c>
    </row>
    <row r="7" spans="1:9" ht="15" customHeight="1">
      <c r="A7" s="101" t="s">
        <v>28</v>
      </c>
      <c r="B7" s="100">
        <v>37</v>
      </c>
      <c r="C7" s="99">
        <v>1</v>
      </c>
      <c r="D7" s="98">
        <v>16</v>
      </c>
      <c r="E7" s="97">
        <v>6</v>
      </c>
      <c r="F7" s="97">
        <v>3.7203125</v>
      </c>
      <c r="G7" s="96">
        <v>59.525</v>
      </c>
      <c r="H7" s="95">
        <v>0</v>
      </c>
      <c r="I7" s="94">
        <v>0</v>
      </c>
    </row>
    <row r="8" spans="1:9" ht="15" customHeight="1">
      <c r="A8" s="101" t="s">
        <v>32</v>
      </c>
      <c r="B8" s="100">
        <v>35</v>
      </c>
      <c r="C8" s="99">
        <v>2</v>
      </c>
      <c r="D8" s="98">
        <v>11</v>
      </c>
      <c r="E8" s="97">
        <v>10.10</v>
      </c>
      <c r="F8" s="97">
        <v>4.420454545454546</v>
      </c>
      <c r="G8" s="96">
        <v>48.625</v>
      </c>
      <c r="H8" s="95">
        <v>-10.90</v>
      </c>
      <c r="I8" s="94">
        <v>-10.90</v>
      </c>
    </row>
    <row r="9" spans="1:9" ht="15" customHeight="1">
      <c r="A9" s="101" t="s">
        <v>31</v>
      </c>
      <c r="B9" s="100">
        <v>32</v>
      </c>
      <c r="C9" s="99">
        <v>3</v>
      </c>
      <c r="D9" s="98">
        <v>4</v>
      </c>
      <c r="E9" s="97">
        <v>7.55</v>
      </c>
      <c r="F9" s="97">
        <v>4.41875</v>
      </c>
      <c r="G9" s="96">
        <v>17.675</v>
      </c>
      <c r="H9" s="95">
        <v>-41.849999999999994</v>
      </c>
      <c r="I9" s="94">
        <v>-30.949999999999996</v>
      </c>
    </row>
    <row r="10" spans="1:9" ht="15" customHeight="1">
      <c r="A10" s="101" t="s">
        <v>37</v>
      </c>
      <c r="B10" s="100">
        <v>34</v>
      </c>
      <c r="C10" s="99">
        <v>4</v>
      </c>
      <c r="D10" s="98">
        <v>1</v>
      </c>
      <c r="E10" s="97">
        <v>4.375</v>
      </c>
      <c r="F10" s="97">
        <v>4.375</v>
      </c>
      <c r="G10" s="96">
        <v>4.375</v>
      </c>
      <c r="H10" s="95">
        <v>-55.15</v>
      </c>
      <c r="I10" s="94">
        <v>-13.300000000000004</v>
      </c>
    </row>
    <row r="11" spans="1:9" ht="15" customHeight="1">
      <c r="A11" s="101" t="s">
        <v>35</v>
      </c>
      <c r="B11" s="100">
        <v>36</v>
      </c>
      <c r="C11" s="99">
        <v>5</v>
      </c>
      <c r="D11" s="98">
        <v>1</v>
      </c>
      <c r="E11" s="97">
        <v>3.025</v>
      </c>
      <c r="F11" s="97">
        <v>3.025</v>
      </c>
      <c r="G11" s="96">
        <v>3.025</v>
      </c>
      <c r="H11" s="95">
        <v>-56.50</v>
      </c>
      <c r="I11" s="94">
        <v>-1.3500000000000014</v>
      </c>
    </row>
    <row r="12" spans="1:9" ht="15" customHeight="1">
      <c r="A12" s="101" t="s">
        <v>38</v>
      </c>
      <c r="B12" s="100">
        <v>31</v>
      </c>
      <c r="C12" s="99">
        <v>6</v>
      </c>
      <c r="D12" s="98">
        <v>0</v>
      </c>
      <c r="E12" s="97">
        <v>0</v>
      </c>
      <c r="F12" s="97">
        <v>0</v>
      </c>
      <c r="G12" s="96">
        <v>0</v>
      </c>
      <c r="H12" s="95">
        <v>-59.525</v>
      </c>
      <c r="I12" s="94">
        <v>-3.0249999999999986</v>
      </c>
    </row>
    <row r="13" spans="1:9" ht="15" customHeight="1">
      <c r="A13" s="101" t="s">
        <v>34</v>
      </c>
      <c r="B13" s="100">
        <v>33</v>
      </c>
      <c r="C13" s="99">
        <v>6</v>
      </c>
      <c r="D13" s="98">
        <v>0</v>
      </c>
      <c r="E13" s="97">
        <v>0</v>
      </c>
      <c r="F13" s="97">
        <v>0</v>
      </c>
      <c r="G13" s="96">
        <v>0</v>
      </c>
      <c r="H13" s="95">
        <v>-59.525</v>
      </c>
      <c r="I13" s="94">
        <v>-3.0249999999999986</v>
      </c>
    </row>
    <row r="14" spans="1:9" ht="15" customHeight="1">
      <c r="A14" s="93"/>
      <c r="B14" s="92"/>
      <c r="C14" s="92"/>
      <c r="H14" s="91"/>
      <c r="I14" s="91"/>
    </row>
    <row r="15" spans="5:6" ht="14.25" customHeight="1">
      <c r="E15" s="86" t="s">
        <v>19</v>
      </c>
      <c r="F15" s="85">
        <v>33</v>
      </c>
    </row>
    <row r="16" spans="5:7" ht="14.25" customHeight="1">
      <c r="E16" s="86" t="s">
        <v>20</v>
      </c>
      <c r="F16" s="90">
        <v>133.225</v>
      </c>
      <c r="G16" s="88" t="s">
        <v>21</v>
      </c>
    </row>
    <row r="17" spans="5:6" ht="14.25" customHeight="1">
      <c r="E17" s="86" t="s">
        <v>22</v>
      </c>
      <c r="F17" s="90">
        <v>10.10</v>
      </c>
    </row>
    <row r="18" spans="5:6" ht="14.25" customHeight="1">
      <c r="E18" s="86"/>
      <c r="F18" s="90"/>
    </row>
    <row r="19" spans="5:7" ht="14.25" customHeight="1">
      <c r="E19" s="86" t="s">
        <v>23</v>
      </c>
      <c r="F19" s="89">
        <v>299.425</v>
      </c>
      <c r="G19" s="88" t="s">
        <v>21</v>
      </c>
    </row>
    <row r="20" spans="5:8" ht="14.25" customHeight="1">
      <c r="E20" s="86" t="s">
        <v>24</v>
      </c>
      <c r="F20" s="89">
        <v>10.10</v>
      </c>
      <c r="G20" s="88" t="s">
        <v>21</v>
      </c>
      <c r="H20" s="87" t="s">
        <v>32</v>
      </c>
    </row>
    <row r="21" spans="5:6" ht="14.25" customHeight="1">
      <c r="E21" s="86" t="s">
        <v>25</v>
      </c>
      <c r="F21" s="85">
        <v>80</v>
      </c>
    </row>
    <row r="22" ht="14.25" customHeight="1"/>
    <row r="23" spans="2:5" s="58" customFormat="1" ht="14.25" customHeight="1">
      <c r="B23" s="115" t="s">
        <v>158</v>
      </c>
      <c r="C23" s="118"/>
      <c r="E23" s="83" t="s">
        <v>159</v>
      </c>
    </row>
    <row r="24" s="58" customFormat="1" ht="14.25" customHeight="1"/>
    <row r="25" s="58" customFormat="1" ht="14.25" customHeight="1"/>
    <row r="26" s="58" customFormat="1" ht="14.25" customHeight="1"/>
    <row r="27" s="58" customFormat="1" ht="14.25" customHeight="1"/>
    <row r="28" s="58" customFormat="1" ht="14.25" customHeight="1"/>
    <row r="29" s="58" customFormat="1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</sheetData>
  <autoFilter ref="A6:I12">
    <sortState ref="A7:I13">
      <sortCondition sortBy="value" ref="C7:C13"/>
    </sortState>
  </autoFilter>
  <pageMargins left="0.11811023622047245" right="0.11811023622047245" top="0.35433070866141736" bottom="0.7480314960629921" header="0" footer="0"/>
  <pageSetup orientation="landscape" paperSize="9" r:id="rId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22"/>
  <sheetViews>
    <sheetView workbookViewId="0" topLeftCell="A1">
      <pane ySplit="6" topLeftCell="A7" activePane="bottomLeft" state="frozen"/>
      <selection pane="topLeft" activeCell="A1" sqref="A1"/>
      <selection pane="bottomLeft" activeCell="A1" sqref="A1"/>
    </sheetView>
  </sheetViews>
  <sheetFormatPr defaultColWidth="14.424285714285714" defaultRowHeight="15" customHeight="1"/>
  <cols>
    <col min="1" max="1" width="16.428571428571427" style="84" bestFit="1" customWidth="1"/>
    <col min="2" max="3" width="7.857142857142857" style="84" bestFit="1" customWidth="1"/>
    <col min="4" max="4" width="8" style="84" customWidth="1"/>
    <col min="5" max="5" width="11.428571428571429" style="84" customWidth="1"/>
    <col min="6" max="6" width="12.285714285714286" style="84" customWidth="1"/>
    <col min="7" max="7" width="13.714285714285714" style="84" customWidth="1"/>
    <col min="8" max="8" width="14.857142857142858" style="84" bestFit="1" customWidth="1"/>
    <col min="9" max="9" width="18.571428571428573" style="84" bestFit="1" customWidth="1"/>
    <col min="10" max="13" width="20" style="84" customWidth="1"/>
    <col min="14" max="26" width="8.714285714285714" style="84" customWidth="1"/>
    <col min="27" max="16384" width="14.428571428571429" style="84"/>
  </cols>
  <sheetData>
    <row r="1" spans="2:9" ht="15" customHeight="1">
      <c r="B1" s="109"/>
      <c r="C1" s="109"/>
      <c r="D1" s="109"/>
      <c r="E1" s="109" t="s">
        <v>0</v>
      </c>
      <c r="F1" s="119"/>
      <c r="G1" s="109"/>
      <c r="H1" s="109"/>
      <c r="I1" s="109"/>
    </row>
    <row r="2" spans="2:9" ht="15" customHeight="1">
      <c r="B2" s="108"/>
      <c r="C2" s="108"/>
      <c r="D2" s="108"/>
      <c r="E2" s="108"/>
      <c r="F2" s="120" t="s">
        <v>161</v>
      </c>
      <c r="G2" s="108"/>
      <c r="H2" s="108"/>
      <c r="I2" s="108"/>
    </row>
    <row r="3" spans="5:13" ht="15" customHeight="1">
      <c r="E3" s="108" t="s">
        <v>160</v>
      </c>
      <c r="F3" s="120"/>
      <c r="G3" s="108"/>
      <c r="H3" s="108"/>
      <c r="I3" s="108"/>
      <c r="J3" s="108"/>
      <c r="K3" s="108"/>
      <c r="L3" s="108"/>
      <c r="M3" s="108"/>
    </row>
    <row r="4" spans="2:9" ht="15" customHeight="1">
      <c r="B4" s="108"/>
      <c r="C4" s="108"/>
      <c r="D4" s="108"/>
      <c r="E4" s="108"/>
      <c r="F4" s="120" t="s">
        <v>26</v>
      </c>
      <c r="G4" s="108"/>
      <c r="H4" s="108"/>
      <c r="I4" s="108"/>
    </row>
    <row r="6" spans="1:9" ht="41.65" customHeight="1">
      <c r="A6" s="107" t="s">
        <v>4</v>
      </c>
      <c r="B6" s="106" t="s">
        <v>5</v>
      </c>
      <c r="C6" s="105" t="s">
        <v>6</v>
      </c>
      <c r="D6" s="104" t="s">
        <v>7</v>
      </c>
      <c r="E6" s="103" t="s">
        <v>8</v>
      </c>
      <c r="F6" s="103" t="s">
        <v>9</v>
      </c>
      <c r="G6" s="103" t="s">
        <v>10</v>
      </c>
      <c r="H6" s="102" t="s">
        <v>11</v>
      </c>
      <c r="I6" s="102" t="s">
        <v>12</v>
      </c>
    </row>
    <row r="7" spans="1:9" ht="15" customHeight="1">
      <c r="A7" s="101" t="s">
        <v>36</v>
      </c>
      <c r="B7" s="100">
        <v>25</v>
      </c>
      <c r="C7" s="99">
        <v>1</v>
      </c>
      <c r="D7" s="98">
        <v>6</v>
      </c>
      <c r="E7" s="97">
        <v>6.875</v>
      </c>
      <c r="F7" s="97">
        <v>4.495833333333334</v>
      </c>
      <c r="G7" s="96">
        <v>26.975</v>
      </c>
      <c r="H7" s="95">
        <v>0</v>
      </c>
      <c r="I7" s="94">
        <v>0</v>
      </c>
    </row>
    <row r="8" spans="1:9" ht="15" customHeight="1">
      <c r="A8" s="101" t="s">
        <v>17</v>
      </c>
      <c r="B8" s="100">
        <v>27</v>
      </c>
      <c r="C8" s="99">
        <v>2</v>
      </c>
      <c r="D8" s="98">
        <v>6</v>
      </c>
      <c r="E8" s="97">
        <v>5.05</v>
      </c>
      <c r="F8" s="97">
        <v>3.579166666666667</v>
      </c>
      <c r="G8" s="96">
        <v>21.475</v>
      </c>
      <c r="H8" s="95">
        <v>-5.50</v>
      </c>
      <c r="I8" s="94">
        <v>-5.50</v>
      </c>
    </row>
    <row r="9" spans="1:9" ht="15" customHeight="1">
      <c r="A9" s="101" t="s">
        <v>16</v>
      </c>
      <c r="B9" s="100">
        <v>26</v>
      </c>
      <c r="C9" s="99">
        <v>3</v>
      </c>
      <c r="D9" s="98">
        <v>4</v>
      </c>
      <c r="E9" s="97">
        <v>5.30</v>
      </c>
      <c r="F9" s="97">
        <v>3.8749999999999996</v>
      </c>
      <c r="G9" s="96">
        <v>15.499999999999998</v>
      </c>
      <c r="H9" s="95">
        <v>-11.475000000000003</v>
      </c>
      <c r="I9" s="94">
        <v>-5.975000000000003</v>
      </c>
    </row>
    <row r="10" spans="1:9" ht="15" customHeight="1">
      <c r="A10" s="101" t="s">
        <v>39</v>
      </c>
      <c r="B10" s="100">
        <v>28</v>
      </c>
      <c r="C10" s="99">
        <v>4</v>
      </c>
      <c r="D10" s="98">
        <v>3</v>
      </c>
      <c r="E10" s="97">
        <v>3.875</v>
      </c>
      <c r="F10" s="97">
        <v>3.225</v>
      </c>
      <c r="G10" s="96">
        <v>9.675</v>
      </c>
      <c r="H10" s="95">
        <v>-17.30</v>
      </c>
      <c r="I10" s="94">
        <v>-5.8249999999999975</v>
      </c>
    </row>
    <row r="11" spans="1:9" ht="15" customHeight="1">
      <c r="A11" s="101" t="s">
        <v>40</v>
      </c>
      <c r="B11" s="100">
        <v>23</v>
      </c>
      <c r="C11" s="99">
        <v>5</v>
      </c>
      <c r="D11" s="98">
        <v>0</v>
      </c>
      <c r="E11" s="97">
        <v>0</v>
      </c>
      <c r="F11" s="97">
        <v>0</v>
      </c>
      <c r="G11" s="96">
        <v>0</v>
      </c>
      <c r="H11" s="95">
        <v>-26.975</v>
      </c>
      <c r="I11" s="94">
        <v>-9.675</v>
      </c>
    </row>
    <row r="12" spans="1:9" ht="15" customHeight="1">
      <c r="A12" s="101" t="s">
        <v>18</v>
      </c>
      <c r="B12" s="100">
        <v>24</v>
      </c>
      <c r="C12" s="99">
        <v>5</v>
      </c>
      <c r="D12" s="98">
        <v>0</v>
      </c>
      <c r="E12" s="97">
        <v>0</v>
      </c>
      <c r="F12" s="97">
        <v>0</v>
      </c>
      <c r="G12" s="96">
        <v>0</v>
      </c>
      <c r="H12" s="95">
        <v>-26.975</v>
      </c>
      <c r="I12" s="94">
        <v>-9.675</v>
      </c>
    </row>
    <row r="13" spans="1:9" ht="15" customHeight="1">
      <c r="A13" s="101"/>
      <c r="B13" s="100"/>
      <c r="C13" s="99"/>
      <c r="D13" s="98"/>
      <c r="E13" s="97"/>
      <c r="F13" s="97"/>
      <c r="G13" s="96"/>
      <c r="H13" s="95"/>
      <c r="I13" s="94"/>
    </row>
    <row r="14" spans="1:9" ht="15" customHeight="1">
      <c r="A14" s="93"/>
      <c r="B14" s="92"/>
      <c r="C14" s="92"/>
      <c r="E14" s="84" t="s">
        <v>19</v>
      </c>
      <c r="F14" s="84">
        <v>19</v>
      </c>
      <c r="H14" s="91"/>
      <c r="I14" s="91"/>
    </row>
    <row r="15" spans="5:7" ht="14.25" customHeight="1">
      <c r="E15" s="86" t="s">
        <v>20</v>
      </c>
      <c r="F15" s="85">
        <v>73.625</v>
      </c>
      <c r="G15" s="84" t="s">
        <v>21</v>
      </c>
    </row>
    <row r="16" spans="5:7" ht="14.25" customHeight="1">
      <c r="E16" s="86" t="s">
        <v>22</v>
      </c>
      <c r="F16" s="90">
        <v>6.875</v>
      </c>
      <c r="G16" s="88"/>
    </row>
    <row r="17" spans="5:6" ht="14.25" customHeight="1">
      <c r="E17" s="86"/>
      <c r="F17" s="90"/>
    </row>
    <row r="18" spans="5:7" ht="14.25" customHeight="1">
      <c r="E18" s="86" t="s">
        <v>23</v>
      </c>
      <c r="F18" s="90">
        <v>299.425</v>
      </c>
      <c r="G18" s="84" t="s">
        <v>21</v>
      </c>
    </row>
    <row r="19" spans="5:8" ht="14.25" customHeight="1">
      <c r="E19" s="86" t="s">
        <v>24</v>
      </c>
      <c r="F19" s="89">
        <v>10.10</v>
      </c>
      <c r="G19" s="88" t="s">
        <v>21</v>
      </c>
      <c r="H19" s="87" t="s">
        <v>32</v>
      </c>
    </row>
    <row r="20" spans="5:8" ht="14.25" customHeight="1">
      <c r="E20" s="86" t="s">
        <v>25</v>
      </c>
      <c r="F20" s="89">
        <v>66</v>
      </c>
      <c r="G20" s="88"/>
      <c r="H20" s="88"/>
    </row>
    <row r="21" spans="5:6" ht="14.25" customHeight="1">
      <c r="E21" s="86"/>
      <c r="F21" s="85"/>
    </row>
    <row r="22" spans="2:6" ht="14.25" customHeight="1">
      <c r="B22" s="58"/>
      <c r="C22" s="115" t="s">
        <v>158</v>
      </c>
      <c r="D22" s="118"/>
      <c r="E22" s="58"/>
      <c r="F22" s="83" t="s">
        <v>159</v>
      </c>
    </row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</sheetData>
  <autoFilter ref="A6:I12">
    <sortState ref="A7:I12">
      <sortCondition sortBy="value" ref="C7:C12"/>
    </sortState>
  </autoFilter>
  <pageMargins left="0.11811023622047245" right="0.11811023622047245" top="0.7480314960629921" bottom="0.7480314960629921" header="0" footer="0"/>
  <pageSetup orientation="portrait" paperSize="9" r:id="rId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22"/>
  <sheetViews>
    <sheetView workbookViewId="0" topLeftCell="A1">
      <pane ySplit="6" topLeftCell="A7" activePane="bottomLeft" state="frozen"/>
      <selection pane="topLeft" activeCell="A1" sqref="A1"/>
      <selection pane="bottomLeft" activeCell="A1" sqref="A1"/>
    </sheetView>
  </sheetViews>
  <sheetFormatPr defaultColWidth="14.424285714285714" defaultRowHeight="15" customHeight="1"/>
  <cols>
    <col min="1" max="1" width="16.428571428571427" style="84" bestFit="1" customWidth="1"/>
    <col min="2" max="3" width="7.857142857142857" style="84" bestFit="1" customWidth="1"/>
    <col min="4" max="4" width="8" style="84" customWidth="1"/>
    <col min="5" max="5" width="11.428571428571429" style="84" customWidth="1"/>
    <col min="6" max="6" width="12.285714285714286" style="84" customWidth="1"/>
    <col min="7" max="7" width="13.714285714285714" style="84" customWidth="1"/>
    <col min="8" max="8" width="14.857142857142858" style="84" bestFit="1" customWidth="1"/>
    <col min="9" max="9" width="18.571428571428573" style="84" bestFit="1" customWidth="1"/>
    <col min="10" max="13" width="20" style="84" customWidth="1"/>
    <col min="14" max="26" width="8.714285714285714" style="84" customWidth="1"/>
    <col min="27" max="16384" width="14.428571428571429" style="84"/>
  </cols>
  <sheetData>
    <row r="1" spans="2:9" ht="15" customHeight="1">
      <c r="B1" s="109"/>
      <c r="C1" s="109"/>
      <c r="D1" s="109"/>
      <c r="E1" s="109" t="s">
        <v>0</v>
      </c>
      <c r="F1" s="119"/>
      <c r="G1" s="109"/>
      <c r="H1" s="109"/>
      <c r="I1" s="109"/>
    </row>
    <row r="2" spans="2:9" ht="15" customHeight="1">
      <c r="B2" s="108"/>
      <c r="C2" s="108"/>
      <c r="D2" s="108"/>
      <c r="E2" s="108"/>
      <c r="F2" s="120" t="s">
        <v>161</v>
      </c>
      <c r="G2" s="108"/>
      <c r="H2" s="108"/>
      <c r="I2" s="108"/>
    </row>
    <row r="3" spans="5:13" ht="15" customHeight="1">
      <c r="E3" s="108" t="s">
        <v>160</v>
      </c>
      <c r="F3" s="120"/>
      <c r="G3" s="108"/>
      <c r="H3" s="108"/>
      <c r="I3" s="108"/>
      <c r="J3" s="108"/>
      <c r="K3" s="108"/>
      <c r="L3" s="108"/>
      <c r="M3" s="108"/>
    </row>
    <row r="4" spans="2:9" ht="15" customHeight="1">
      <c r="B4" s="108"/>
      <c r="C4" s="108"/>
      <c r="D4" s="108"/>
      <c r="E4" s="108"/>
      <c r="F4" s="120" t="s">
        <v>33</v>
      </c>
      <c r="G4" s="108"/>
      <c r="H4" s="108"/>
      <c r="I4" s="108"/>
    </row>
    <row r="6" spans="1:9" ht="41.65" customHeight="1">
      <c r="A6" s="107" t="s">
        <v>4</v>
      </c>
      <c r="B6" s="106" t="s">
        <v>5</v>
      </c>
      <c r="C6" s="105" t="s">
        <v>6</v>
      </c>
      <c r="D6" s="104" t="s">
        <v>7</v>
      </c>
      <c r="E6" s="103" t="s">
        <v>8</v>
      </c>
      <c r="F6" s="103" t="s">
        <v>9</v>
      </c>
      <c r="G6" s="103" t="s">
        <v>10</v>
      </c>
      <c r="H6" s="102" t="s">
        <v>11</v>
      </c>
      <c r="I6" s="102" t="s">
        <v>12</v>
      </c>
    </row>
    <row r="7" spans="1:9" ht="15" customHeight="1">
      <c r="A7" s="101" t="s">
        <v>13</v>
      </c>
      <c r="B7" s="100">
        <v>15</v>
      </c>
      <c r="C7" s="99">
        <v>1</v>
      </c>
      <c r="D7" s="98">
        <v>9</v>
      </c>
      <c r="E7" s="97">
        <v>7.20</v>
      </c>
      <c r="F7" s="97">
        <v>3.411111111111111</v>
      </c>
      <c r="G7" s="96">
        <v>30.70</v>
      </c>
      <c r="H7" s="95">
        <v>0</v>
      </c>
      <c r="I7" s="94">
        <v>0</v>
      </c>
    </row>
    <row r="8" spans="1:9" ht="15" customHeight="1">
      <c r="A8" s="101" t="s">
        <v>27</v>
      </c>
      <c r="B8" s="100">
        <v>20</v>
      </c>
      <c r="C8" s="99">
        <v>2</v>
      </c>
      <c r="D8" s="98">
        <v>7</v>
      </c>
      <c r="E8" s="97">
        <v>4.575</v>
      </c>
      <c r="F8" s="97">
        <v>3.0214285714285714</v>
      </c>
      <c r="G8" s="96">
        <v>21.15</v>
      </c>
      <c r="H8" s="95">
        <v>-9.55</v>
      </c>
      <c r="I8" s="94">
        <v>-9.55</v>
      </c>
    </row>
    <row r="9" spans="1:9" ht="15" customHeight="1">
      <c r="A9" s="101" t="s">
        <v>30</v>
      </c>
      <c r="B9" s="100">
        <v>19</v>
      </c>
      <c r="C9" s="99">
        <v>3</v>
      </c>
      <c r="D9" s="98">
        <v>5</v>
      </c>
      <c r="E9" s="97">
        <v>4.775</v>
      </c>
      <c r="F9" s="97">
        <v>3.505</v>
      </c>
      <c r="G9" s="96">
        <v>17.525</v>
      </c>
      <c r="H9" s="95">
        <v>-13.175</v>
      </c>
      <c r="I9" s="94">
        <v>-3.625</v>
      </c>
    </row>
    <row r="10" spans="1:9" ht="15" customHeight="1">
      <c r="A10" s="101" t="s">
        <v>29</v>
      </c>
      <c r="B10" s="100">
        <v>17</v>
      </c>
      <c r="C10" s="99">
        <v>4</v>
      </c>
      <c r="D10" s="98">
        <v>4</v>
      </c>
      <c r="E10" s="97">
        <v>5.175</v>
      </c>
      <c r="F10" s="97">
        <v>3.3062500000000004</v>
      </c>
      <c r="G10" s="96">
        <v>13.225</v>
      </c>
      <c r="H10" s="95">
        <v>-17.474999999999998</v>
      </c>
      <c r="I10" s="94">
        <v>-4.299999999999997</v>
      </c>
    </row>
    <row r="11" spans="1:9" ht="15" customHeight="1">
      <c r="A11" s="101" t="s">
        <v>14</v>
      </c>
      <c r="B11" s="100">
        <v>18</v>
      </c>
      <c r="C11" s="99">
        <v>5</v>
      </c>
      <c r="D11" s="98">
        <v>3</v>
      </c>
      <c r="E11" s="97">
        <v>3.775</v>
      </c>
      <c r="F11" s="97">
        <v>3.3250000000000006</v>
      </c>
      <c r="G11" s="96">
        <v>9.975000000000001</v>
      </c>
      <c r="H11" s="95">
        <v>-20.725</v>
      </c>
      <c r="I11" s="94">
        <v>-3.25</v>
      </c>
    </row>
    <row r="12" spans="1:9" ht="15" customHeight="1">
      <c r="A12" s="101" t="s">
        <v>15</v>
      </c>
      <c r="B12" s="100">
        <v>16</v>
      </c>
      <c r="C12" s="99">
        <v>6</v>
      </c>
      <c r="D12" s="98">
        <v>0</v>
      </c>
      <c r="E12" s="97">
        <v>0</v>
      </c>
      <c r="F12" s="97">
        <v>0</v>
      </c>
      <c r="G12" s="96">
        <v>0</v>
      </c>
      <c r="H12" s="95">
        <v>-30.70</v>
      </c>
      <c r="I12" s="94">
        <v>-9.975000000000001</v>
      </c>
    </row>
    <row r="13" spans="1:9" ht="15" customHeight="1">
      <c r="A13" s="101"/>
      <c r="B13" s="100"/>
      <c r="C13" s="99"/>
      <c r="D13" s="98"/>
      <c r="E13" s="97"/>
      <c r="F13" s="97"/>
      <c r="G13" s="96"/>
      <c r="H13" s="95"/>
      <c r="I13" s="94"/>
    </row>
    <row r="14" spans="1:9" ht="15" customHeight="1">
      <c r="A14" s="93"/>
      <c r="B14" s="92"/>
      <c r="C14" s="92"/>
      <c r="E14" s="84" t="s">
        <v>19</v>
      </c>
      <c r="F14" s="84">
        <v>28</v>
      </c>
      <c r="H14" s="91"/>
      <c r="I14" s="91"/>
    </row>
    <row r="15" spans="5:7" ht="14.25" customHeight="1">
      <c r="E15" s="86" t="s">
        <v>20</v>
      </c>
      <c r="F15" s="85">
        <v>92.57499999999999</v>
      </c>
      <c r="G15" s="84" t="s">
        <v>21</v>
      </c>
    </row>
    <row r="16" spans="5:7" ht="14.25" customHeight="1">
      <c r="E16" s="86" t="s">
        <v>22</v>
      </c>
      <c r="F16" s="90">
        <v>7.20</v>
      </c>
      <c r="G16" s="88"/>
    </row>
    <row r="17" spans="5:6" ht="14.25" customHeight="1">
      <c r="E17" s="86"/>
      <c r="F17" s="90"/>
    </row>
    <row r="18" spans="5:7" ht="14.25" customHeight="1">
      <c r="E18" s="86" t="s">
        <v>23</v>
      </c>
      <c r="F18" s="90">
        <v>299.425</v>
      </c>
      <c r="G18" s="84" t="s">
        <v>21</v>
      </c>
    </row>
    <row r="19" spans="5:8" ht="14.25" customHeight="1">
      <c r="E19" s="86" t="s">
        <v>24</v>
      </c>
      <c r="F19" s="89">
        <v>10.10</v>
      </c>
      <c r="G19" s="88" t="s">
        <v>21</v>
      </c>
      <c r="H19" s="87" t="s">
        <v>32</v>
      </c>
    </row>
    <row r="20" spans="5:8" ht="14.25" customHeight="1">
      <c r="E20" s="86" t="s">
        <v>25</v>
      </c>
      <c r="F20" s="89">
        <v>75</v>
      </c>
      <c r="G20" s="88"/>
      <c r="H20" s="88"/>
    </row>
    <row r="21" spans="5:6" ht="14.25" customHeight="1">
      <c r="E21" s="86"/>
      <c r="F21" s="85"/>
    </row>
    <row r="22" spans="2:5" ht="14.25" customHeight="1">
      <c r="B22" s="115" t="s">
        <v>158</v>
      </c>
      <c r="C22" s="118"/>
      <c r="D22" s="58"/>
      <c r="E22" s="83" t="s">
        <v>159</v>
      </c>
    </row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</sheetData>
  <autoFilter ref="A6:I12">
    <sortState ref="A7:I12">
      <sortCondition sortBy="value" ref="C7:C12"/>
    </sortState>
  </autoFilter>
  <pageMargins left="0.11811023622047245" right="0.11811023622047245" top="0.7480314960629921" bottom="0.7480314960629921" header="0" footer="0"/>
  <pageSetup orientation="portrait" paperSize="9" r:id="rId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22"/>
  <sheetViews>
    <sheetView showGridLines="0" workbookViewId="0" topLeftCell="A1">
      <selection pane="topLeft" activeCell="B22" sqref="B22:E22"/>
    </sheetView>
  </sheetViews>
  <sheetFormatPr defaultColWidth="14.424285714285714" defaultRowHeight="15" customHeight="1"/>
  <cols>
    <col min="1" max="1" width="14.857142857142858" style="121" bestFit="1" customWidth="1"/>
    <col min="2" max="4" width="7.714285714285714" style="121" customWidth="1"/>
    <col min="5" max="9" width="10.714285714285714" style="121" customWidth="1"/>
    <col min="10" max="13" width="20" style="121" customWidth="1"/>
    <col min="14" max="26" width="8.857142857142858" style="121" customWidth="1"/>
    <col min="27" max="16384" width="14.428571428571429" style="121"/>
  </cols>
  <sheetData>
    <row r="1" spans="2:9" ht="21.75" customHeight="1">
      <c r="B1" s="109"/>
      <c r="C1" s="109"/>
      <c r="D1" s="109"/>
      <c r="E1" s="119" t="s">
        <v>0</v>
      </c>
      <c r="F1" s="109"/>
      <c r="G1" s="109"/>
      <c r="H1" s="109"/>
      <c r="I1" s="109"/>
    </row>
    <row r="2" spans="2:9" ht="14.25" customHeight="1">
      <c r="B2" s="108"/>
      <c r="C2" s="108"/>
      <c r="D2" s="108"/>
      <c r="E2" s="120" t="s">
        <v>163</v>
      </c>
      <c r="G2" s="108"/>
      <c r="H2" s="108"/>
      <c r="I2" s="108"/>
    </row>
    <row r="3" spans="5:13" ht="14.25" customHeight="1">
      <c r="E3" s="120" t="s">
        <v>162</v>
      </c>
      <c r="F3" s="108"/>
      <c r="G3" s="108"/>
      <c r="H3" s="108"/>
      <c r="I3" s="108"/>
      <c r="J3" s="108"/>
      <c r="K3" s="108"/>
      <c r="L3" s="108"/>
      <c r="M3" s="108"/>
    </row>
    <row r="4" spans="2:9" ht="14.25" customHeight="1">
      <c r="B4" s="108"/>
      <c r="C4" s="108"/>
      <c r="D4" s="108"/>
      <c r="E4" s="120" t="s">
        <v>3</v>
      </c>
      <c r="G4" s="108"/>
      <c r="H4" s="108"/>
      <c r="I4" s="108"/>
    </row>
    <row r="5" spans="5:5" ht="18.75" customHeight="1">
      <c r="E5" s="126"/>
    </row>
    <row r="6" spans="1:9" ht="51.75" customHeight="1">
      <c r="A6" s="107" t="s">
        <v>4</v>
      </c>
      <c r="B6" s="106" t="s">
        <v>5</v>
      </c>
      <c r="C6" s="105" t="s">
        <v>6</v>
      </c>
      <c r="D6" s="104" t="s">
        <v>7</v>
      </c>
      <c r="E6" s="103" t="s">
        <v>8</v>
      </c>
      <c r="F6" s="103" t="s">
        <v>9</v>
      </c>
      <c r="G6" s="103" t="s">
        <v>10</v>
      </c>
      <c r="H6" s="102" t="s">
        <v>11</v>
      </c>
      <c r="I6" s="102" t="s">
        <v>12</v>
      </c>
    </row>
    <row r="7" spans="1:9" ht="16.5" customHeight="1">
      <c r="A7" s="101" t="s">
        <v>30</v>
      </c>
      <c r="B7" s="100">
        <v>37</v>
      </c>
      <c r="C7" s="112">
        <v>1</v>
      </c>
      <c r="D7" s="98">
        <v>84</v>
      </c>
      <c r="E7" s="97">
        <v>10.525</v>
      </c>
      <c r="F7" s="97">
        <v>3.1175595238095246</v>
      </c>
      <c r="G7" s="96">
        <v>261.87500000000006</v>
      </c>
      <c r="H7" s="95">
        <v>0</v>
      </c>
      <c r="I7" s="94">
        <v>0</v>
      </c>
    </row>
    <row r="8" spans="1:9" ht="18.75" customHeight="1">
      <c r="A8" s="101" t="s">
        <v>27</v>
      </c>
      <c r="B8" s="100">
        <v>34</v>
      </c>
      <c r="C8" s="112">
        <v>2</v>
      </c>
      <c r="D8" s="98">
        <v>64</v>
      </c>
      <c r="E8" s="97">
        <v>8.475</v>
      </c>
      <c r="F8" s="97">
        <v>3.5854687500000004</v>
      </c>
      <c r="G8" s="96">
        <v>229.47000000000003</v>
      </c>
      <c r="H8" s="95">
        <v>-32.40500000000003</v>
      </c>
      <c r="I8" s="94">
        <v>-32.40500000000003</v>
      </c>
    </row>
    <row r="9" spans="1:9" ht="17.25" customHeight="1">
      <c r="A9" s="101" t="s">
        <v>36</v>
      </c>
      <c r="B9" s="100">
        <v>32</v>
      </c>
      <c r="C9" s="112">
        <v>3</v>
      </c>
      <c r="D9" s="98">
        <v>57</v>
      </c>
      <c r="E9" s="97">
        <v>10.35</v>
      </c>
      <c r="F9" s="97">
        <v>3.6258771929824563</v>
      </c>
      <c r="G9" s="96">
        <v>206.675</v>
      </c>
      <c r="H9" s="95">
        <v>-55.200000000000045</v>
      </c>
      <c r="I9" s="94">
        <v>-22.795000000000016</v>
      </c>
    </row>
    <row r="10" spans="1:9" ht="20.25" customHeight="1">
      <c r="A10" s="101" t="s">
        <v>39</v>
      </c>
      <c r="B10" s="100">
        <v>36</v>
      </c>
      <c r="C10" s="112">
        <v>4</v>
      </c>
      <c r="D10" s="98">
        <v>50</v>
      </c>
      <c r="E10" s="97">
        <v>8.125</v>
      </c>
      <c r="F10" s="97">
        <v>3.3369999999999997</v>
      </c>
      <c r="G10" s="96">
        <v>166.85</v>
      </c>
      <c r="H10" s="95">
        <v>-95.02500000000006</v>
      </c>
      <c r="I10" s="94">
        <v>-39.82500000000002</v>
      </c>
    </row>
    <row r="11" spans="1:9" ht="17.25" customHeight="1">
      <c r="A11" s="101" t="s">
        <v>29</v>
      </c>
      <c r="B11" s="100">
        <v>35</v>
      </c>
      <c r="C11" s="112">
        <v>5</v>
      </c>
      <c r="D11" s="98">
        <v>40</v>
      </c>
      <c r="E11" s="97">
        <v>5.675</v>
      </c>
      <c r="F11" s="97">
        <v>2.963125</v>
      </c>
      <c r="G11" s="96">
        <v>118.525</v>
      </c>
      <c r="H11" s="95">
        <v>-143.35000000000005</v>
      </c>
      <c r="I11" s="94">
        <v>-48.32499999999999</v>
      </c>
    </row>
    <row r="12" spans="1:9" ht="16.5" customHeight="1">
      <c r="A12" s="101" t="s">
        <v>40</v>
      </c>
      <c r="B12" s="100">
        <v>33</v>
      </c>
      <c r="C12" s="112">
        <v>6</v>
      </c>
      <c r="D12" s="98">
        <v>13</v>
      </c>
      <c r="E12" s="97">
        <v>5</v>
      </c>
      <c r="F12" s="97">
        <v>3.2326923076923078</v>
      </c>
      <c r="G12" s="96">
        <v>42.025</v>
      </c>
      <c r="H12" s="95">
        <v>-219.85000000000005</v>
      </c>
      <c r="I12" s="94">
        <v>-76.50</v>
      </c>
    </row>
    <row r="13" spans="1:9" ht="15" customHeight="1">
      <c r="A13" s="93"/>
      <c r="B13" s="124"/>
      <c r="C13" s="124"/>
      <c r="H13" s="123"/>
      <c r="I13" s="123"/>
    </row>
    <row r="14" spans="5:6" ht="14.25" customHeight="1">
      <c r="E14" s="86" t="s">
        <v>19</v>
      </c>
      <c r="F14" s="85">
        <v>308</v>
      </c>
    </row>
    <row r="15" spans="5:7" ht="14.25" customHeight="1">
      <c r="E15" s="86" t="s">
        <v>20</v>
      </c>
      <c r="F15" s="90">
        <v>1025.42</v>
      </c>
      <c r="G15" s="122" t="s">
        <v>21</v>
      </c>
    </row>
    <row r="16" spans="5:6" ht="14.25" customHeight="1">
      <c r="E16" s="86" t="s">
        <v>22</v>
      </c>
      <c r="F16" s="90">
        <v>10.525</v>
      </c>
    </row>
    <row r="17" spans="5:6" ht="14.25" customHeight="1">
      <c r="E17" s="86"/>
      <c r="F17" s="90"/>
    </row>
    <row r="18" spans="5:7" ht="14.25" customHeight="1">
      <c r="E18" s="86" t="s">
        <v>23</v>
      </c>
      <c r="F18" s="89">
        <v>3143.8940000000002</v>
      </c>
      <c r="G18" s="122" t="s">
        <v>21</v>
      </c>
    </row>
    <row r="19" spans="5:8" ht="14.25" customHeight="1">
      <c r="E19" s="86" t="s">
        <v>24</v>
      </c>
      <c r="F19" s="89">
        <v>12</v>
      </c>
      <c r="G19" s="122" t="s">
        <v>21</v>
      </c>
      <c r="H19" s="122" t="s">
        <v>15</v>
      </c>
    </row>
    <row r="20" spans="5:6" ht="14.25" customHeight="1">
      <c r="E20" s="86" t="s">
        <v>25</v>
      </c>
      <c r="F20" s="85">
        <v>917</v>
      </c>
    </row>
    <row r="21" ht="14.25" customHeight="1"/>
    <row r="22" spans="2:5" ht="14.25" customHeight="1">
      <c r="B22" s="115" t="s">
        <v>158</v>
      </c>
      <c r="C22" s="118"/>
      <c r="D22" s="58"/>
      <c r="E22" s="83" t="s">
        <v>159</v>
      </c>
    </row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</sheetData>
  <pageMargins left="0.11811023622047245" right="0.11811023622047245" top="0.35433070866141736" bottom="0.7480314960629921" header="0" footer="0"/>
  <pageSetup orientation="landscape" paperSize="9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23"/>
  <sheetViews>
    <sheetView showGridLines="0" workbookViewId="0" topLeftCell="A1">
      <selection pane="topLeft" activeCell="H3" activeCellId="1" sqref="A23:E23 H3"/>
    </sheetView>
  </sheetViews>
  <sheetFormatPr defaultColWidth="14.424285714285714" defaultRowHeight="15" customHeight="1"/>
  <cols>
    <col min="1" max="1" width="19.428571428571427" style="121" bestFit="1" customWidth="1"/>
    <col min="2" max="4" width="8.142857142857142" style="121" customWidth="1"/>
    <col min="5" max="9" width="10.571428571428571" style="121" customWidth="1"/>
    <col min="10" max="26" width="8.857142857142858" style="121" customWidth="1"/>
    <col min="27" max="16384" width="14.428571428571429" style="121"/>
  </cols>
  <sheetData>
    <row r="1" spans="1:9" ht="22.5" customHeight="1">
      <c r="A1" s="109"/>
      <c r="B1" s="109"/>
      <c r="C1" s="109"/>
      <c r="D1" s="109"/>
      <c r="E1" s="119" t="s">
        <v>0</v>
      </c>
      <c r="F1" s="109"/>
      <c r="G1" s="109"/>
      <c r="H1" s="109"/>
      <c r="I1" s="109"/>
    </row>
    <row r="2" spans="1:9" ht="14.25" customHeight="1">
      <c r="A2" s="108"/>
      <c r="B2" s="108"/>
      <c r="C2" s="108"/>
      <c r="D2" s="108"/>
      <c r="E2" s="120" t="s">
        <v>163</v>
      </c>
      <c r="G2" s="108"/>
      <c r="H2" s="108"/>
      <c r="I2" s="108"/>
    </row>
    <row r="3" spans="1:9" ht="14.25" customHeight="1">
      <c r="A3" s="108"/>
      <c r="B3" s="108"/>
      <c r="C3" s="108"/>
      <c r="D3" s="108"/>
      <c r="E3" s="120" t="s">
        <v>162</v>
      </c>
      <c r="F3" s="108"/>
      <c r="G3" s="108"/>
      <c r="H3" s="108"/>
      <c r="I3" s="108"/>
    </row>
    <row r="4" spans="1:9" ht="14.25" customHeight="1">
      <c r="A4" s="108"/>
      <c r="B4" s="108"/>
      <c r="C4" s="108"/>
      <c r="D4" s="108"/>
      <c r="E4" s="120" t="s">
        <v>26</v>
      </c>
      <c r="G4" s="108"/>
      <c r="H4" s="108"/>
      <c r="I4" s="108"/>
    </row>
    <row r="5" ht="14.25" customHeight="1"/>
    <row r="6" spans="1:9" ht="39.75" customHeight="1">
      <c r="A6" s="107" t="s">
        <v>4</v>
      </c>
      <c r="B6" s="110" t="s">
        <v>5</v>
      </c>
      <c r="C6" s="111" t="s">
        <v>6</v>
      </c>
      <c r="D6" s="104" t="s">
        <v>7</v>
      </c>
      <c r="E6" s="103" t="s">
        <v>8</v>
      </c>
      <c r="F6" s="103" t="s">
        <v>9</v>
      </c>
      <c r="G6" s="103" t="s">
        <v>10</v>
      </c>
      <c r="H6" s="102" t="s">
        <v>11</v>
      </c>
      <c r="I6" s="102" t="s">
        <v>12</v>
      </c>
    </row>
    <row r="7" spans="1:9" ht="16.5" customHeight="1">
      <c r="A7" s="101" t="s">
        <v>38</v>
      </c>
      <c r="B7" s="100">
        <v>27</v>
      </c>
      <c r="C7" s="112">
        <v>1</v>
      </c>
      <c r="D7" s="98">
        <v>65</v>
      </c>
      <c r="E7" s="97">
        <v>7.65</v>
      </c>
      <c r="F7" s="97">
        <v>3.2973384615384616</v>
      </c>
      <c r="G7" s="96">
        <v>214.327</v>
      </c>
      <c r="H7" s="95">
        <v>0</v>
      </c>
      <c r="I7" s="94">
        <v>0</v>
      </c>
    </row>
    <row r="8" spans="1:9" ht="16.5" customHeight="1">
      <c r="A8" s="101" t="s">
        <v>34</v>
      </c>
      <c r="B8" s="100">
        <v>24</v>
      </c>
      <c r="C8" s="112">
        <v>2</v>
      </c>
      <c r="D8" s="98">
        <v>51</v>
      </c>
      <c r="E8" s="97">
        <v>10.125</v>
      </c>
      <c r="F8" s="97">
        <v>4.023039215686274</v>
      </c>
      <c r="G8" s="96">
        <v>205.17499999999998</v>
      </c>
      <c r="H8" s="95">
        <v>-9.152000000000015</v>
      </c>
      <c r="I8" s="94">
        <v>-9.152000000000015</v>
      </c>
    </row>
    <row r="9" spans="1:9" ht="16.5" customHeight="1">
      <c r="A9" s="101" t="s">
        <v>13</v>
      </c>
      <c r="B9" s="100">
        <v>26</v>
      </c>
      <c r="C9" s="112">
        <v>3</v>
      </c>
      <c r="D9" s="98">
        <v>57</v>
      </c>
      <c r="E9" s="97">
        <v>8.625</v>
      </c>
      <c r="F9" s="97">
        <v>3.575473684210526</v>
      </c>
      <c r="G9" s="96">
        <v>203.802</v>
      </c>
      <c r="H9" s="95">
        <v>-10.525000000000006</v>
      </c>
      <c r="I9" s="94">
        <v>-1.3729999999999905</v>
      </c>
    </row>
    <row r="10" spans="1:9" ht="16.5" customHeight="1">
      <c r="A10" s="101" t="s">
        <v>15</v>
      </c>
      <c r="B10" s="100">
        <v>22</v>
      </c>
      <c r="C10" s="112">
        <v>4</v>
      </c>
      <c r="D10" s="98">
        <v>52</v>
      </c>
      <c r="E10" s="97">
        <v>12</v>
      </c>
      <c r="F10" s="97">
        <v>3.7605769230769237</v>
      </c>
      <c r="G10" s="96">
        <v>195.55000000000004</v>
      </c>
      <c r="H10" s="95">
        <v>-18.77699999999996</v>
      </c>
      <c r="I10" s="94">
        <v>-8.251999999999953</v>
      </c>
    </row>
    <row r="11" spans="1:9" ht="16.5" customHeight="1">
      <c r="A11" s="101" t="s">
        <v>35</v>
      </c>
      <c r="B11" s="100">
        <v>25</v>
      </c>
      <c r="C11" s="112">
        <v>5</v>
      </c>
      <c r="D11" s="98">
        <v>23</v>
      </c>
      <c r="E11" s="97">
        <v>8.45</v>
      </c>
      <c r="F11" s="97">
        <v>4.22391304347826</v>
      </c>
      <c r="G11" s="96">
        <v>97.14999999999998</v>
      </c>
      <c r="H11" s="95">
        <v>-117.17700000000002</v>
      </c>
      <c r="I11" s="94">
        <v>-98.40000000000006</v>
      </c>
    </row>
    <row r="12" spans="1:9" ht="16.5" customHeight="1">
      <c r="A12" s="101" t="s">
        <v>37</v>
      </c>
      <c r="B12" s="100">
        <v>28</v>
      </c>
      <c r="C12" s="112">
        <v>6</v>
      </c>
      <c r="D12" s="98">
        <v>28</v>
      </c>
      <c r="E12" s="97">
        <v>5.70</v>
      </c>
      <c r="F12" s="97">
        <v>3.1401785714285713</v>
      </c>
      <c r="G12" s="96">
        <v>87.925</v>
      </c>
      <c r="H12" s="95">
        <v>-126.402</v>
      </c>
      <c r="I12" s="94">
        <v>-9.22499999999998</v>
      </c>
    </row>
    <row r="13" spans="1:9" ht="16.5" customHeight="1">
      <c r="A13" s="101" t="s">
        <v>14</v>
      </c>
      <c r="B13" s="100">
        <v>23</v>
      </c>
      <c r="C13" s="112">
        <v>7</v>
      </c>
      <c r="D13" s="98">
        <v>27</v>
      </c>
      <c r="E13" s="97">
        <v>6.825</v>
      </c>
      <c r="F13" s="97">
        <v>3.225925925925926</v>
      </c>
      <c r="G13" s="96">
        <v>87.10</v>
      </c>
      <c r="H13" s="95">
        <v>-127.227</v>
      </c>
      <c r="I13" s="94">
        <v>-0.8250000000000028</v>
      </c>
    </row>
    <row r="14" ht="14.25" customHeight="1"/>
    <row r="15" spans="5:6" ht="14.25" customHeight="1">
      <c r="E15" s="86" t="s">
        <v>19</v>
      </c>
      <c r="F15" s="85">
        <v>303</v>
      </c>
    </row>
    <row r="16" spans="5:7" ht="14.25" customHeight="1">
      <c r="E16" s="86" t="s">
        <v>20</v>
      </c>
      <c r="F16" s="90">
        <v>1091.029</v>
      </c>
      <c r="G16" s="122" t="s">
        <v>21</v>
      </c>
    </row>
    <row r="17" spans="5:6" ht="14.25" customHeight="1">
      <c r="E17" s="86" t="s">
        <v>22</v>
      </c>
      <c r="F17" s="90">
        <v>12</v>
      </c>
    </row>
    <row r="18" spans="5:6" ht="14.25" customHeight="1">
      <c r="E18" s="86"/>
      <c r="F18" s="90"/>
    </row>
    <row r="19" spans="5:7" ht="14.25" customHeight="1">
      <c r="E19" s="86" t="s">
        <v>23</v>
      </c>
      <c r="F19" s="89">
        <v>3143.8940000000002</v>
      </c>
      <c r="G19" s="122" t="s">
        <v>21</v>
      </c>
    </row>
    <row r="20" spans="5:8" ht="14.25" customHeight="1">
      <c r="E20" s="86" t="s">
        <v>24</v>
      </c>
      <c r="F20" s="89">
        <v>12</v>
      </c>
      <c r="G20" s="122" t="s">
        <v>21</v>
      </c>
      <c r="H20" s="122" t="s">
        <v>15</v>
      </c>
    </row>
    <row r="21" spans="5:6" ht="14.25" customHeight="1">
      <c r="E21" s="86" t="s">
        <v>25</v>
      </c>
      <c r="F21" s="85">
        <v>917</v>
      </c>
    </row>
    <row r="22" ht="14.25" customHeight="1"/>
    <row r="23" spans="2:5" ht="14.25" customHeight="1">
      <c r="B23" s="115" t="s">
        <v>158</v>
      </c>
      <c r="C23" s="118"/>
      <c r="D23" s="58"/>
      <c r="E23" s="127" t="s">
        <v>159</v>
      </c>
    </row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</sheetData>
  <pageMargins left="0.11811023622047245" right="0.11811023622047245" top="0.7480314960629921" bottom="0.7480314960629921" header="0" footer="0"/>
  <pageSetup orientation="portrait" paperSize="9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22"/>
  <sheetViews>
    <sheetView showGridLines="0" workbookViewId="0" topLeftCell="A1">
      <selection pane="topLeft" activeCell="I25" sqref="I25"/>
    </sheetView>
  </sheetViews>
  <sheetFormatPr defaultColWidth="14.424285714285714" defaultRowHeight="15" customHeight="1"/>
  <cols>
    <col min="1" max="1" width="16.428571428571427" style="121" bestFit="1" customWidth="1"/>
    <col min="2" max="4" width="8" style="121" customWidth="1"/>
    <col min="5" max="9" width="10.857142857142858" style="121" customWidth="1"/>
    <col min="10" max="26" width="8.857142857142858" style="121" customWidth="1"/>
    <col min="27" max="16384" width="14.428571428571429" style="121"/>
  </cols>
  <sheetData>
    <row r="1" spans="1:9" ht="27.75" customHeight="1">
      <c r="A1" s="109"/>
      <c r="B1" s="109"/>
      <c r="C1" s="109"/>
      <c r="D1" s="109"/>
      <c r="E1" s="119" t="s">
        <v>0</v>
      </c>
      <c r="F1" s="109"/>
      <c r="G1" s="109"/>
      <c r="H1" s="109"/>
      <c r="I1" s="109"/>
    </row>
    <row r="2" spans="1:9" ht="14.25" customHeight="1">
      <c r="A2" s="108"/>
      <c r="B2" s="108"/>
      <c r="C2" s="108"/>
      <c r="D2" s="108"/>
      <c r="E2" s="120" t="s">
        <v>163</v>
      </c>
      <c r="G2" s="108"/>
      <c r="H2" s="108"/>
      <c r="I2" s="108"/>
    </row>
    <row r="3" spans="1:9" ht="14.25" customHeight="1">
      <c r="A3" s="108"/>
      <c r="B3" s="108"/>
      <c r="C3" s="108"/>
      <c r="D3" s="108"/>
      <c r="E3" s="120" t="s">
        <v>162</v>
      </c>
      <c r="F3" s="108"/>
      <c r="G3" s="108"/>
      <c r="H3" s="108"/>
      <c r="I3" s="108"/>
    </row>
    <row r="4" spans="1:9" ht="14.25" customHeight="1">
      <c r="A4" s="108"/>
      <c r="B4" s="108"/>
      <c r="C4" s="108"/>
      <c r="D4" s="108"/>
      <c r="E4" s="120" t="s">
        <v>33</v>
      </c>
      <c r="G4" s="108"/>
      <c r="H4" s="108"/>
      <c r="I4" s="108"/>
    </row>
    <row r="5" ht="14.25" customHeight="1"/>
    <row r="6" spans="1:9" ht="51" customHeight="1">
      <c r="A6" s="107" t="s">
        <v>4</v>
      </c>
      <c r="B6" s="106" t="s">
        <v>5</v>
      </c>
      <c r="C6" s="111" t="s">
        <v>6</v>
      </c>
      <c r="D6" s="104" t="s">
        <v>7</v>
      </c>
      <c r="E6" s="103" t="s">
        <v>8</v>
      </c>
      <c r="F6" s="103" t="s">
        <v>9</v>
      </c>
      <c r="G6" s="103" t="s">
        <v>10</v>
      </c>
      <c r="H6" s="102" t="s">
        <v>11</v>
      </c>
      <c r="I6" s="102" t="s">
        <v>12</v>
      </c>
    </row>
    <row r="7" spans="1:9" ht="18.75" customHeight="1">
      <c r="A7" s="101" t="s">
        <v>16</v>
      </c>
      <c r="B7" s="100">
        <v>16</v>
      </c>
      <c r="C7" s="112">
        <v>1</v>
      </c>
      <c r="D7" s="98">
        <v>90</v>
      </c>
      <c r="E7" s="97">
        <v>7.30</v>
      </c>
      <c r="F7" s="97">
        <v>3.1661111111111118</v>
      </c>
      <c r="G7" s="96">
        <v>284.95000000000005</v>
      </c>
      <c r="H7" s="95">
        <v>0</v>
      </c>
      <c r="I7" s="94">
        <v>0</v>
      </c>
    </row>
    <row r="8" spans="1:9" ht="18.75" customHeight="1">
      <c r="A8" s="101" t="s">
        <v>32</v>
      </c>
      <c r="B8" s="100">
        <v>17</v>
      </c>
      <c r="C8" s="112">
        <v>2</v>
      </c>
      <c r="D8" s="98">
        <v>66</v>
      </c>
      <c r="E8" s="97">
        <v>9.40</v>
      </c>
      <c r="F8" s="97">
        <v>3.6370454545454547</v>
      </c>
      <c r="G8" s="96">
        <v>240.04500000000002</v>
      </c>
      <c r="H8" s="95">
        <v>-44.90500000000003</v>
      </c>
      <c r="I8" s="94">
        <v>-44.90500000000003</v>
      </c>
    </row>
    <row r="9" spans="1:9" ht="17.25" customHeight="1">
      <c r="A9" s="101" t="s">
        <v>28</v>
      </c>
      <c r="B9" s="100">
        <v>19</v>
      </c>
      <c r="C9" s="112">
        <v>3</v>
      </c>
      <c r="D9" s="98">
        <v>65</v>
      </c>
      <c r="E9" s="97">
        <v>5.60</v>
      </c>
      <c r="F9" s="97">
        <v>3.259615384615385</v>
      </c>
      <c r="G9" s="96">
        <v>211.87500000000003</v>
      </c>
      <c r="H9" s="95">
        <v>-73.07500000000002</v>
      </c>
      <c r="I9" s="94">
        <v>-28.169999999999987</v>
      </c>
    </row>
    <row r="10" spans="1:9" ht="17.25" customHeight="1">
      <c r="A10" s="101" t="s">
        <v>31</v>
      </c>
      <c r="B10" s="100">
        <v>15</v>
      </c>
      <c r="C10" s="112">
        <v>4</v>
      </c>
      <c r="D10" s="98">
        <v>46</v>
      </c>
      <c r="E10" s="97">
        <v>6.625</v>
      </c>
      <c r="F10" s="97">
        <v>3.455434782608696</v>
      </c>
      <c r="G10" s="96">
        <v>158.95000000000002</v>
      </c>
      <c r="H10" s="95">
        <v>-126.00000000000003</v>
      </c>
      <c r="I10" s="94">
        <v>-52.92500000000001</v>
      </c>
    </row>
    <row r="11" spans="1:9" ht="17.25" customHeight="1">
      <c r="A11" s="125" t="s">
        <v>17</v>
      </c>
      <c r="B11" s="100">
        <v>20</v>
      </c>
      <c r="C11" s="112">
        <v>5</v>
      </c>
      <c r="D11" s="98">
        <v>24</v>
      </c>
      <c r="E11" s="97">
        <v>4.975</v>
      </c>
      <c r="F11" s="97">
        <v>3.319791666666667</v>
      </c>
      <c r="G11" s="96">
        <v>79.67500000000001</v>
      </c>
      <c r="H11" s="95">
        <v>-205.27500000000003</v>
      </c>
      <c r="I11" s="94">
        <v>-79.275</v>
      </c>
    </row>
    <row r="12" spans="1:9" ht="18" customHeight="1">
      <c r="A12" s="101" t="s">
        <v>18</v>
      </c>
      <c r="B12" s="100">
        <v>18</v>
      </c>
      <c r="C12" s="112">
        <v>6</v>
      </c>
      <c r="D12" s="98">
        <v>15</v>
      </c>
      <c r="E12" s="97">
        <v>6.725</v>
      </c>
      <c r="F12" s="97">
        <v>3.4633333333333334</v>
      </c>
      <c r="G12" s="96">
        <v>51.95</v>
      </c>
      <c r="H12" s="95">
        <v>-233.00000000000006</v>
      </c>
      <c r="I12" s="94">
        <v>-27.725000000000023</v>
      </c>
    </row>
    <row r="13" ht="14.25" customHeight="1"/>
    <row r="14" spans="5:6" ht="14.25" customHeight="1">
      <c r="E14" s="86" t="s">
        <v>19</v>
      </c>
      <c r="F14" s="85">
        <v>306</v>
      </c>
    </row>
    <row r="15" spans="5:7" ht="14.25" customHeight="1">
      <c r="E15" s="86" t="s">
        <v>20</v>
      </c>
      <c r="F15" s="90">
        <v>1027.4450000000002</v>
      </c>
      <c r="G15" s="122" t="s">
        <v>21</v>
      </c>
    </row>
    <row r="16" spans="5:6" ht="14.25" customHeight="1">
      <c r="E16" s="86" t="s">
        <v>22</v>
      </c>
      <c r="F16" s="90">
        <v>9.40</v>
      </c>
    </row>
    <row r="17" spans="5:6" ht="14.25" customHeight="1">
      <c r="E17" s="86"/>
      <c r="F17" s="90"/>
    </row>
    <row r="18" spans="5:7" ht="14.25" customHeight="1">
      <c r="E18" s="86" t="s">
        <v>23</v>
      </c>
      <c r="F18" s="89">
        <v>3143.8940000000002</v>
      </c>
      <c r="G18" s="122" t="s">
        <v>21</v>
      </c>
    </row>
    <row r="19" spans="5:8" ht="14.25" customHeight="1">
      <c r="E19" s="86" t="s">
        <v>24</v>
      </c>
      <c r="F19" s="89">
        <v>12</v>
      </c>
      <c r="G19" s="122" t="s">
        <v>21</v>
      </c>
      <c r="H19" s="122" t="s">
        <v>15</v>
      </c>
    </row>
    <row r="20" spans="5:6" ht="14.25" customHeight="1">
      <c r="E20" s="86" t="s">
        <v>25</v>
      </c>
      <c r="F20" s="85">
        <v>917</v>
      </c>
    </row>
    <row r="21" ht="14.25" customHeight="1"/>
    <row r="22" spans="2:5" ht="14.25" customHeight="1">
      <c r="B22" s="115" t="s">
        <v>158</v>
      </c>
      <c r="C22" s="118"/>
      <c r="D22" s="58"/>
      <c r="E22" s="127" t="s">
        <v>159</v>
      </c>
    </row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</sheetData>
  <pageMargins left="0.11811023622047245" right="0.11811023622047245" top="0.7480314960629921" bottom="0.7480314960629921" header="0" footer="0"/>
  <pageSetup orientation="portrait" paperSize="9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Y23"/>
  <sheetViews>
    <sheetView showGridLines="0" workbookViewId="0" topLeftCell="A1">
      <selection pane="topLeft" activeCell="G34" sqref="G34"/>
    </sheetView>
  </sheetViews>
  <sheetFormatPr defaultColWidth="14.424285714285714" defaultRowHeight="15" customHeight="1"/>
  <cols>
    <col min="1" max="1" width="27.857142857142858" style="58" bestFit="1" customWidth="1"/>
    <col min="2" max="2" width="7.857142857142857" style="58" bestFit="1" customWidth="1"/>
    <col min="3" max="3" width="11" style="58" bestFit="1" customWidth="1"/>
    <col min="4" max="9" width="10.714285714285714" style="58" customWidth="1"/>
    <col min="10" max="25" width="8.714285714285714" style="58" customWidth="1"/>
    <col min="26" max="16384" width="14.428571428571429" style="58"/>
  </cols>
  <sheetData>
    <row r="1" spans="2:25" ht="15" customHeight="1">
      <c r="B1" s="1"/>
      <c r="C1" s="1"/>
      <c r="D1" s="1"/>
      <c r="E1" s="57" t="s">
        <v>0</v>
      </c>
      <c r="F1" s="1"/>
      <c r="G1" s="1"/>
      <c r="H1" s="1"/>
      <c r="I1" s="1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</row>
    <row r="2" spans="2:25" ht="15" customHeight="1">
      <c r="B2" s="1"/>
      <c r="C2" s="1"/>
      <c r="D2" s="1"/>
      <c r="E2" s="57" t="s">
        <v>1</v>
      </c>
      <c r="G2" s="1"/>
      <c r="H2" s="1"/>
      <c r="I2" s="1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</row>
    <row r="3" spans="1:25" ht="15" customHeight="1">
      <c r="A3" s="1"/>
      <c r="B3" s="1"/>
      <c r="C3" s="1"/>
      <c r="D3" s="1"/>
      <c r="E3" s="57" t="s">
        <v>2</v>
      </c>
      <c r="F3" s="1"/>
      <c r="G3" s="1"/>
      <c r="H3" s="1"/>
      <c r="I3" s="1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</row>
    <row r="4" spans="1:25" ht="15" customHeight="1">
      <c r="A4" s="1"/>
      <c r="B4" s="1"/>
      <c r="C4" s="1"/>
      <c r="D4" s="1"/>
      <c r="E4" s="116" t="s">
        <v>3</v>
      </c>
      <c r="G4" s="1"/>
      <c r="H4" s="1"/>
      <c r="I4" s="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</row>
    <row r="5" spans="1:25" ht="15" customHeight="1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</row>
    <row r="6" spans="1:9" ht="51" customHeight="1">
      <c r="A6" s="2" t="s">
        <v>4</v>
      </c>
      <c r="B6" s="3" t="s">
        <v>5</v>
      </c>
      <c r="C6" s="22" t="s">
        <v>6</v>
      </c>
      <c r="D6" s="4" t="s">
        <v>7</v>
      </c>
      <c r="E6" s="5" t="s">
        <v>8</v>
      </c>
      <c r="F6" s="5" t="s">
        <v>9</v>
      </c>
      <c r="G6" s="5" t="s">
        <v>10</v>
      </c>
      <c r="H6" s="6" t="s">
        <v>11</v>
      </c>
      <c r="I6" s="6" t="s">
        <v>12</v>
      </c>
    </row>
    <row r="7" spans="1:9" ht="14.25" customHeight="1">
      <c r="A7" s="8" t="s">
        <v>13</v>
      </c>
      <c r="B7" s="9">
        <v>34</v>
      </c>
      <c r="C7" s="10">
        <v>1</v>
      </c>
      <c r="D7" s="11">
        <v>28</v>
      </c>
      <c r="E7" s="12">
        <v>9.425</v>
      </c>
      <c r="F7" s="12">
        <v>4.34125</v>
      </c>
      <c r="G7" s="13">
        <v>121.55499999999999</v>
      </c>
      <c r="H7" s="14">
        <v>0</v>
      </c>
      <c r="I7" s="15">
        <v>0</v>
      </c>
    </row>
    <row r="8" spans="1:9" ht="14.25" customHeight="1">
      <c r="A8" s="8" t="s">
        <v>14</v>
      </c>
      <c r="B8" s="9">
        <v>37</v>
      </c>
      <c r="C8" s="10">
        <v>2</v>
      </c>
      <c r="D8" s="11">
        <v>40</v>
      </c>
      <c r="E8" s="12">
        <v>8.45</v>
      </c>
      <c r="F8" s="12">
        <v>3.03875</v>
      </c>
      <c r="G8" s="13">
        <v>121.55</v>
      </c>
      <c r="H8" s="14">
        <v>-0.0049999999999954525</v>
      </c>
      <c r="I8" s="15">
        <v>-0.0049999999999954525</v>
      </c>
    </row>
    <row r="9" spans="1:9" ht="14.25" customHeight="1">
      <c r="A9" s="8" t="s">
        <v>15</v>
      </c>
      <c r="B9" s="9">
        <v>33</v>
      </c>
      <c r="C9" s="10">
        <v>3</v>
      </c>
      <c r="D9" s="11">
        <v>22</v>
      </c>
      <c r="E9" s="12">
        <v>12.50</v>
      </c>
      <c r="F9" s="12">
        <v>4.719318181818181</v>
      </c>
      <c r="G9" s="13">
        <v>103.82499999999999</v>
      </c>
      <c r="H9" s="14">
        <v>-17.730000000000004</v>
      </c>
      <c r="I9" s="15">
        <v>-17.72500000000001</v>
      </c>
    </row>
    <row r="10" spans="1:9" ht="14.25" customHeight="1">
      <c r="A10" s="8" t="s">
        <v>16</v>
      </c>
      <c r="B10" s="9">
        <v>36</v>
      </c>
      <c r="C10" s="10">
        <v>4</v>
      </c>
      <c r="D10" s="11">
        <v>24</v>
      </c>
      <c r="E10" s="12">
        <v>10.025</v>
      </c>
      <c r="F10" s="12">
        <v>3.738541666666667</v>
      </c>
      <c r="G10" s="13">
        <v>89.725</v>
      </c>
      <c r="H10" s="14">
        <v>-31.829999999999984</v>
      </c>
      <c r="I10" s="15">
        <v>-14.09999999999998</v>
      </c>
    </row>
    <row r="11" spans="1:9" ht="14.25" customHeight="1">
      <c r="A11" s="8" t="s">
        <v>17</v>
      </c>
      <c r="B11" s="9">
        <v>35</v>
      </c>
      <c r="C11" s="10">
        <v>5</v>
      </c>
      <c r="D11" s="11">
        <v>11</v>
      </c>
      <c r="E11" s="12">
        <v>6.35</v>
      </c>
      <c r="F11" s="12">
        <v>3.3454545454545452</v>
      </c>
      <c r="G11" s="13">
        <v>36.8</v>
      </c>
      <c r="H11" s="14">
        <v>-84.755</v>
      </c>
      <c r="I11" s="15">
        <v>-52.92500000000001</v>
      </c>
    </row>
    <row r="12" spans="1:9" ht="14.25" customHeight="1">
      <c r="A12" s="113" t="s">
        <v>18</v>
      </c>
      <c r="B12" s="9">
        <v>32</v>
      </c>
      <c r="C12" s="10">
        <v>6</v>
      </c>
      <c r="D12" s="11">
        <v>4</v>
      </c>
      <c r="E12" s="12">
        <v>3.875</v>
      </c>
      <c r="F12" s="12">
        <v>3.1125</v>
      </c>
      <c r="G12" s="13">
        <v>12.45</v>
      </c>
      <c r="H12" s="14">
        <v>-109.10499999999999</v>
      </c>
      <c r="I12" s="15">
        <v>-24.349999999999994</v>
      </c>
    </row>
    <row r="13" spans="1:9" ht="14.25" customHeight="1">
      <c r="A13" s="8"/>
      <c r="B13" s="9"/>
      <c r="C13" s="10"/>
      <c r="D13" s="11"/>
      <c r="E13" s="12"/>
      <c r="F13" s="12"/>
      <c r="G13" s="13"/>
      <c r="H13" s="14"/>
      <c r="I13" s="15"/>
    </row>
    <row r="14" spans="5:6" ht="14.25" customHeight="1">
      <c r="E14" s="58" t="s">
        <v>19</v>
      </c>
      <c r="F14" s="117">
        <v>129</v>
      </c>
    </row>
    <row r="15" spans="5:7" ht="14.25" customHeight="1">
      <c r="E15" s="16" t="s">
        <v>20</v>
      </c>
      <c r="F15" s="17">
        <v>485.905</v>
      </c>
      <c r="G15" s="58" t="s">
        <v>21</v>
      </c>
    </row>
    <row r="16" spans="5:7" ht="14.25" customHeight="1">
      <c r="E16" s="16" t="s">
        <v>22</v>
      </c>
      <c r="F16" s="18">
        <v>12.50</v>
      </c>
      <c r="G16" s="19" t="s">
        <v>15</v>
      </c>
    </row>
    <row r="17" spans="5:7" ht="14.25" customHeight="1">
      <c r="E17" s="16"/>
      <c r="F17" s="18"/>
      <c r="G17" s="20"/>
    </row>
    <row r="18" spans="5:7" ht="14.25" customHeight="1">
      <c r="E18" s="16" t="s">
        <v>23</v>
      </c>
      <c r="F18" s="18">
        <v>1586.3249999999998</v>
      </c>
      <c r="G18" s="58" t="s">
        <v>21</v>
      </c>
    </row>
    <row r="19" spans="5:8" ht="14.25" customHeight="1">
      <c r="E19" s="16" t="s">
        <v>24</v>
      </c>
      <c r="F19" s="21">
        <v>12.50</v>
      </c>
      <c r="G19" s="19" t="s">
        <v>21</v>
      </c>
      <c r="H19" s="58" t="s">
        <v>15</v>
      </c>
    </row>
    <row r="20" spans="5:8" ht="14.25" customHeight="1">
      <c r="E20" s="16" t="s">
        <v>25</v>
      </c>
      <c r="F20" s="21">
        <v>458</v>
      </c>
      <c r="G20" s="19"/>
      <c r="H20" s="19"/>
    </row>
    <row r="21" spans="5:6" ht="14.25" customHeight="1">
      <c r="E21" s="16"/>
      <c r="F21" s="17"/>
    </row>
    <row r="22" ht="14.25" customHeight="1"/>
    <row r="23" spans="1:3" ht="14.25" customHeight="1">
      <c r="A23" s="83" t="s">
        <v>158</v>
      </c>
      <c r="C23" s="83" t="s">
        <v>159</v>
      </c>
    </row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</sheetData>
  <autoFilter ref="A6:I12">
    <sortState ref="A6:I12">
      <sortCondition sortBy="value" ref="C6:C12"/>
    </sortState>
  </autoFilter>
  <pageMargins left="0.11811023622047245" right="0.11811023622047245" top="0.35433070866141736" bottom="0.7480314960629921" header="0" footer="0"/>
  <pageSetup orientation="landscape" paperSize="9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15.0300</AppVers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Visi dalībnieki</vt:lpstr>
      <vt:lpstr>Gada kopsavilkums</vt:lpstr>
      <vt:lpstr>1.posms_A Zona</vt:lpstr>
      <vt:lpstr>1.posms_B Zona</vt:lpstr>
      <vt:lpstr>1.posms_C Zona</vt:lpstr>
      <vt:lpstr>2.posms_A Zona</vt:lpstr>
      <vt:lpstr>2.posms_B Zona</vt:lpstr>
      <vt:lpstr>2.posms_C Zona</vt:lpstr>
      <vt:lpstr>3.posms_A Zona</vt:lpstr>
      <vt:lpstr>3.posms_B Zona</vt:lpstr>
      <vt:lpstr>3.posms_C Zona</vt:lpstr>
      <vt:lpstr>Sheet2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Normunds Naglis</dc:creator>
  <cp:keywords/>
  <dc:description/>
  <cp:lastModifiedBy>Ēriks Tukiss</cp:lastModifiedBy>
  <cp:lastPrinted>2024-11-25T11:31:11Z</cp:lastPrinted>
  <dcterms:created xsi:type="dcterms:W3CDTF">2019-03-14T07:14:41Z</dcterms:created>
  <dcterms:modified xsi:type="dcterms:W3CDTF">2024-11-25T12:18:25Z</dcterms:modified>
  <cp:category/>
</cp:coreProperties>
</file>